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o\Documents\wp-contentuploads_2016_08\"/>
    </mc:Choice>
  </mc:AlternateContent>
  <bookViews>
    <workbookView xWindow="0" yWindow="0" windowWidth="14085" windowHeight="13470" activeTab="1"/>
  </bookViews>
  <sheets>
    <sheet name="Szenario 1" sheetId="1" r:id="rId1"/>
    <sheet name="Diagramm 1" sheetId="4" r:id="rId2"/>
    <sheet name="Szenario 2" sheetId="9" r:id="rId3"/>
    <sheet name="Diagramm 2" sheetId="10" r:id="rId4"/>
    <sheet name="Tabelle3" sheetId="3" r:id="rId5"/>
  </sheets>
  <calcPr calcId="162913"/>
</workbook>
</file>

<file path=xl/calcChain.xml><?xml version="1.0" encoding="utf-8"?>
<calcChain xmlns="http://schemas.openxmlformats.org/spreadsheetml/2006/main">
  <c r="E22" i="9" l="1"/>
  <c r="H42" i="9"/>
  <c r="G42" i="9"/>
  <c r="F42" i="9"/>
  <c r="E42" i="9"/>
  <c r="D42" i="9"/>
  <c r="C42" i="9"/>
  <c r="G33" i="9"/>
  <c r="C33" i="9"/>
  <c r="H32" i="9"/>
  <c r="H20" i="9" s="1"/>
  <c r="G32" i="9"/>
  <c r="G20" i="9" s="1"/>
  <c r="F32" i="9"/>
  <c r="F20" i="9" s="1"/>
  <c r="E32" i="9"/>
  <c r="E20" i="9"/>
  <c r="D32" i="9"/>
  <c r="D20" i="9"/>
  <c r="C32" i="9"/>
  <c r="H22" i="9"/>
  <c r="G22" i="9"/>
  <c r="D22" i="9"/>
  <c r="C22" i="9"/>
  <c r="C20" i="9"/>
  <c r="D16" i="9"/>
  <c r="C16" i="9"/>
  <c r="E14" i="9"/>
  <c r="F14" i="9" s="1"/>
  <c r="D14" i="9"/>
  <c r="C12" i="9"/>
  <c r="C39" i="9" s="1"/>
  <c r="C40" i="9" s="1"/>
  <c r="C9" i="9"/>
  <c r="D7" i="9"/>
  <c r="E7" i="9"/>
  <c r="F7" i="9"/>
  <c r="G7" i="9" s="1"/>
  <c r="H7" i="9" s="1"/>
  <c r="D6" i="9"/>
  <c r="D9" i="9" s="1"/>
  <c r="D12" i="9"/>
  <c r="D39" i="9" s="1"/>
  <c r="D40" i="9" s="1"/>
  <c r="D7" i="1"/>
  <c r="E7" i="1" s="1"/>
  <c r="F7" i="1" s="1"/>
  <c r="G7" i="1" s="1"/>
  <c r="H7" i="1" s="1"/>
  <c r="D6" i="1"/>
  <c r="D9" i="1" s="1"/>
  <c r="D14" i="1"/>
  <c r="C12" i="1"/>
  <c r="C18" i="1" s="1"/>
  <c r="C39" i="1"/>
  <c r="C40" i="1" s="1"/>
  <c r="E42" i="1"/>
  <c r="F42" i="1"/>
  <c r="G42" i="1"/>
  <c r="H42" i="1"/>
  <c r="D42" i="1"/>
  <c r="C42" i="1"/>
  <c r="D32" i="1"/>
  <c r="D20" i="1" s="1"/>
  <c r="D22" i="1"/>
  <c r="E32" i="1"/>
  <c r="E20" i="1"/>
  <c r="F32" i="1"/>
  <c r="F20" i="1"/>
  <c r="G32" i="1"/>
  <c r="G20" i="1"/>
  <c r="H32" i="1"/>
  <c r="H20" i="1" s="1"/>
  <c r="C32" i="1"/>
  <c r="C20" i="1" s="1"/>
  <c r="C22" i="1"/>
  <c r="C33" i="1"/>
  <c r="G33" i="1"/>
  <c r="C16" i="1"/>
  <c r="C9" i="1"/>
  <c r="C19" i="9"/>
  <c r="C27" i="9" s="1"/>
  <c r="E6" i="9"/>
  <c r="E9" i="9" s="1"/>
  <c r="C18" i="9"/>
  <c r="C37" i="9" s="1"/>
  <c r="C19" i="1"/>
  <c r="E6" i="1"/>
  <c r="E12" i="1" s="1"/>
  <c r="E39" i="1" s="1"/>
  <c r="C35" i="9"/>
  <c r="E22" i="1"/>
  <c r="G22" i="1"/>
  <c r="H22" i="1"/>
  <c r="C37" i="1" l="1"/>
  <c r="C35" i="1"/>
  <c r="G14" i="9"/>
  <c r="F16" i="9"/>
  <c r="E40" i="1"/>
  <c r="C27" i="1"/>
  <c r="C38" i="9"/>
  <c r="C41" i="9" s="1"/>
  <c r="C43" i="9" s="1"/>
  <c r="F6" i="9"/>
  <c r="D18" i="9"/>
  <c r="E9" i="1"/>
  <c r="E12" i="9"/>
  <c r="E39" i="9" s="1"/>
  <c r="E40" i="9" s="1"/>
  <c r="D19" i="9"/>
  <c r="D27" i="9" s="1"/>
  <c r="D19" i="1"/>
  <c r="D27" i="1" s="1"/>
  <c r="F6" i="1"/>
  <c r="E16" i="9"/>
  <c r="E18" i="9"/>
  <c r="D16" i="1"/>
  <c r="E14" i="1"/>
  <c r="D12" i="1"/>
  <c r="D39" i="1" s="1"/>
  <c r="D40" i="1" s="1"/>
  <c r="C44" i="9" l="1"/>
  <c r="G6" i="1"/>
  <c r="F12" i="1"/>
  <c r="F39" i="1" s="1"/>
  <c r="F40" i="1" s="1"/>
  <c r="F9" i="1"/>
  <c r="D28" i="9"/>
  <c r="C38" i="1"/>
  <c r="C41" i="1" s="1"/>
  <c r="C43" i="1" s="1"/>
  <c r="D28" i="1"/>
  <c r="H14" i="9"/>
  <c r="G16" i="9"/>
  <c r="F12" i="9"/>
  <c r="F9" i="9"/>
  <c r="G6" i="9"/>
  <c r="D18" i="1"/>
  <c r="E37" i="9"/>
  <c r="E35" i="9"/>
  <c r="E16" i="1"/>
  <c r="E18" i="1"/>
  <c r="E19" i="1"/>
  <c r="E27" i="1" s="1"/>
  <c r="F14" i="1"/>
  <c r="D37" i="9"/>
  <c r="D35" i="9"/>
  <c r="E19" i="9"/>
  <c r="E27" i="9" s="1"/>
  <c r="C44" i="1" l="1"/>
  <c r="E28" i="9"/>
  <c r="G9" i="1"/>
  <c r="G12" i="1"/>
  <c r="G39" i="1" s="1"/>
  <c r="G40" i="1" s="1"/>
  <c r="H6" i="1"/>
  <c r="E35" i="1"/>
  <c r="E37" i="1"/>
  <c r="E36" i="9"/>
  <c r="E41" i="9" s="1"/>
  <c r="E43" i="9" s="1"/>
  <c r="D36" i="9"/>
  <c r="D41" i="9" s="1"/>
  <c r="D43" i="9" s="1"/>
  <c r="D44" i="9" s="1"/>
  <c r="E44" i="9" s="1"/>
  <c r="E38" i="9"/>
  <c r="D38" i="9"/>
  <c r="F39" i="9"/>
  <c r="F40" i="9" s="1"/>
  <c r="F19" i="9"/>
  <c r="F18" i="9"/>
  <c r="H16" i="9"/>
  <c r="D35" i="1"/>
  <c r="D37" i="1"/>
  <c r="G9" i="9"/>
  <c r="G12" i="9"/>
  <c r="H6" i="9"/>
  <c r="G14" i="1"/>
  <c r="F16" i="1"/>
  <c r="F19" i="1"/>
  <c r="F18" i="1"/>
  <c r="E28" i="1"/>
  <c r="E38" i="1" l="1"/>
  <c r="D38" i="1"/>
  <c r="F37" i="1"/>
  <c r="F38" i="1" s="1"/>
  <c r="F35" i="1"/>
  <c r="F21" i="1"/>
  <c r="F22" i="1" s="1"/>
  <c r="F21" i="9"/>
  <c r="F22" i="9" s="1"/>
  <c r="F27" i="9" s="1"/>
  <c r="F37" i="9"/>
  <c r="F35" i="9"/>
  <c r="H14" i="1"/>
  <c r="G18" i="1"/>
  <c r="G16" i="1"/>
  <c r="G19" i="1"/>
  <c r="G27" i="1" s="1"/>
  <c r="H12" i="9"/>
  <c r="H9" i="9"/>
  <c r="E36" i="1"/>
  <c r="D36" i="1"/>
  <c r="D41" i="1" s="1"/>
  <c r="D43" i="1" s="1"/>
  <c r="H12" i="1"/>
  <c r="H39" i="1" s="1"/>
  <c r="H40" i="1" s="1"/>
  <c r="H9" i="1"/>
  <c r="F27" i="1"/>
  <c r="G39" i="9"/>
  <c r="G40" i="9" s="1"/>
  <c r="G18" i="9"/>
  <c r="G19" i="9"/>
  <c r="G27" i="9" s="1"/>
  <c r="F28" i="9" l="1"/>
  <c r="F28" i="1"/>
  <c r="E41" i="1"/>
  <c r="E43" i="1" s="1"/>
  <c r="H39" i="9"/>
  <c r="H40" i="9" s="1"/>
  <c r="H19" i="9"/>
  <c r="H18" i="9"/>
  <c r="G36" i="1"/>
  <c r="G41" i="1" s="1"/>
  <c r="G43" i="1" s="1"/>
  <c r="G38" i="1"/>
  <c r="F36" i="1"/>
  <c r="F41" i="1" s="1"/>
  <c r="F43" i="1" s="1"/>
  <c r="G28" i="1"/>
  <c r="D44" i="1"/>
  <c r="G28" i="9"/>
  <c r="G37" i="1"/>
  <c r="G35" i="1"/>
  <c r="F38" i="9"/>
  <c r="G35" i="9"/>
  <c r="G37" i="9"/>
  <c r="H18" i="1"/>
  <c r="H16" i="1"/>
  <c r="H19" i="1"/>
  <c r="F36" i="9"/>
  <c r="F41" i="9" s="1"/>
  <c r="F43" i="9" s="1"/>
  <c r="F44" i="9" l="1"/>
  <c r="G44" i="9" s="1"/>
  <c r="H35" i="9"/>
  <c r="H36" i="9" s="1"/>
  <c r="H25" i="9"/>
  <c r="H27" i="9" s="1"/>
  <c r="H37" i="9"/>
  <c r="H38" i="9" s="1"/>
  <c r="H25" i="1"/>
  <c r="H27" i="1" s="1"/>
  <c r="H35" i="1"/>
  <c r="H36" i="1" s="1"/>
  <c r="H37" i="1"/>
  <c r="H38" i="1" s="1"/>
  <c r="G38" i="9"/>
  <c r="G36" i="9"/>
  <c r="G41" i="9" s="1"/>
  <c r="G43" i="9" s="1"/>
  <c r="E44" i="1"/>
  <c r="F44" i="1" s="1"/>
  <c r="G44" i="1" s="1"/>
  <c r="C45" i="9" l="1"/>
  <c r="H28" i="1"/>
  <c r="H41" i="1"/>
  <c r="H43" i="1" s="1"/>
  <c r="C45" i="1" s="1"/>
  <c r="H41" i="9"/>
  <c r="H43" i="9" s="1"/>
  <c r="H28" i="9"/>
  <c r="H44" i="1"/>
  <c r="H44" i="9"/>
</calcChain>
</file>

<file path=xl/sharedStrings.xml><?xml version="1.0" encoding="utf-8"?>
<sst xmlns="http://schemas.openxmlformats.org/spreadsheetml/2006/main" count="131" uniqueCount="50">
  <si>
    <t>Betreff:</t>
  </si>
  <si>
    <t>Marktvolumen gesamt</t>
  </si>
  <si>
    <t>Stk.</t>
  </si>
  <si>
    <t>EUR</t>
  </si>
  <si>
    <t>%</t>
  </si>
  <si>
    <t>Stk</t>
  </si>
  <si>
    <t>Verkaufspreis / Einheit</t>
  </si>
  <si>
    <t>Umsatz</t>
  </si>
  <si>
    <t>Deckungsbeitrag</t>
  </si>
  <si>
    <t>MA</t>
  </si>
  <si>
    <t>Konzernumlagen</t>
  </si>
  <si>
    <t>Allg. Verwaltung</t>
  </si>
  <si>
    <t>EBIT</t>
  </si>
  <si>
    <t>Umsatzrendite</t>
  </si>
  <si>
    <t>Entwicklungsaufwendungen</t>
  </si>
  <si>
    <t>Anlagevermögen</t>
  </si>
  <si>
    <t>Anlagevermögen (Produktionszelle)</t>
  </si>
  <si>
    <t>Abschreibung</t>
  </si>
  <si>
    <t>Forderungen 30 Tage</t>
  </si>
  <si>
    <t>CASH-FLOW</t>
  </si>
  <si>
    <t>Bestände (Rohstoffe,..)</t>
  </si>
  <si>
    <t>Veränderung Forderungen</t>
  </si>
  <si>
    <t>Veränderung Bestände</t>
  </si>
  <si>
    <t>Produkt xy</t>
  </si>
  <si>
    <t>Zeitraum</t>
  </si>
  <si>
    <t>Einheit</t>
  </si>
  <si>
    <t>€/Einh.</t>
  </si>
  <si>
    <t>Umsatzentwicklung Markt</t>
  </si>
  <si>
    <t>eigene Absatzentwicklung</t>
  </si>
  <si>
    <t>Proko / Einheit</t>
  </si>
  <si>
    <t>Deckungsbeitrag / Einh.</t>
  </si>
  <si>
    <t>unser Marktanteil</t>
  </si>
  <si>
    <t>Personalbedarf Vertrieb &amp; Prod.Mgr.</t>
  </si>
  <si>
    <t>Kosten Vetrieb &amp; Prod.Mgr. &amp; Marketing</t>
  </si>
  <si>
    <t>Jahr</t>
  </si>
  <si>
    <t>Abzinsfaktor bei einer Renditeforderung von</t>
  </si>
  <si>
    <t>Cash Flow</t>
  </si>
  <si>
    <t>Summe DCF (Barwert)</t>
  </si>
  <si>
    <t>kumulierter DCF</t>
  </si>
  <si>
    <t>Verbindlichkeiten (30 Tage)</t>
  </si>
  <si>
    <t>Veränderungen Verbindlichkeiten</t>
  </si>
  <si>
    <t>net working capital</t>
  </si>
  <si>
    <t>diskontierter CF</t>
  </si>
  <si>
    <t>Variablen</t>
  </si>
  <si>
    <t>Wachstumsrate</t>
  </si>
  <si>
    <t>Preisentwicklung (allgem., Teuerung)</t>
  </si>
  <si>
    <t>Preis</t>
  </si>
  <si>
    <t>Struko (inkl. AfA)</t>
  </si>
  <si>
    <t>Wettbewerber senkt Preise</t>
  </si>
  <si>
    <t>Mehrjahresergebnisrechnung &amp; CF-Rechnung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</si>
</sst>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€&quot;"/>
    <numFmt numFmtId="165" formatCode="#,##0\ &quot;€&quot;"/>
    <numFmt numFmtId="166" formatCode="0.000"/>
    <numFmt numFmtId="167" formatCode="0.0"/>
    <numFmt numFmtId="168" formatCode="#,##0.0"/>
  </numFmts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0" fillId="0" borderId="1" xfId="0" applyBorder="1"/>
    <xf numFmtId="0" fontId="0" fillId="0" borderId="0" xfId="0" applyFill="1" applyBorder="1"/>
    <xf numFmtId="0" fontId="2" fillId="0" borderId="0" xfId="0" applyFont="1" applyFill="1" applyBorder="1"/>
    <xf numFmtId="165" fontId="2" fillId="0" borderId="0" xfId="0" applyNumberFormat="1" applyFont="1"/>
    <xf numFmtId="9" fontId="2" fillId="0" borderId="0" xfId="0" applyNumberFormat="1" applyFont="1"/>
    <xf numFmtId="9" fontId="0" fillId="0" borderId="0" xfId="0" applyNumberFormat="1"/>
    <xf numFmtId="166" fontId="0" fillId="0" borderId="0" xfId="0" applyNumberFormat="1"/>
    <xf numFmtId="0" fontId="3" fillId="0" borderId="0" xfId="0" applyFont="1"/>
    <xf numFmtId="0" fontId="3" fillId="0" borderId="1" xfId="0" applyFont="1" applyBorder="1"/>
    <xf numFmtId="165" fontId="3" fillId="0" borderId="0" xfId="0" applyNumberFormat="1" applyFont="1"/>
    <xf numFmtId="165" fontId="3" fillId="0" borderId="1" xfId="0" applyNumberFormat="1" applyFont="1" applyBorder="1"/>
    <xf numFmtId="10" fontId="0" fillId="0" borderId="0" xfId="0" applyNumberFormat="1"/>
    <xf numFmtId="3" fontId="0" fillId="0" borderId="0" xfId="0" applyNumberFormat="1"/>
    <xf numFmtId="168" fontId="0" fillId="0" borderId="0" xfId="0" applyNumberFormat="1"/>
    <xf numFmtId="0" fontId="4" fillId="0" borderId="0" xfId="0" applyFont="1"/>
    <xf numFmtId="0" fontId="4" fillId="2" borderId="0" xfId="0" applyFont="1" applyFill="1" applyAlignment="1">
      <alignment wrapText="1"/>
    </xf>
    <xf numFmtId="165" fontId="0" fillId="2" borderId="0" xfId="0" applyNumberForma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83333333333348E-2"/>
          <c:y val="3.5353535353535352E-2"/>
          <c:w val="0.75208333333333344"/>
          <c:h val="0.92929292929292917"/>
        </c:manualLayout>
      </c:layout>
      <c:lineChart>
        <c:grouping val="standard"/>
        <c:varyColors val="0"/>
        <c:ser>
          <c:idx val="9"/>
          <c:order val="0"/>
          <c:tx>
            <c:strRef>
              <c:f>'Szenario 1'!$A$18</c:f>
              <c:strCache>
                <c:ptCount val="1"/>
                <c:pt idx="0">
                  <c:v>Umsatz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F2-4087-9384-7A6B6B3626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2-4087-9384-7A6B6B3626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2-4087-9384-7A6B6B3626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2-4087-9384-7A6B6B3626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2-4087-9384-7A6B6B36265A}"/>
                </c:ext>
              </c:extLst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5F2-4087-9384-7A6B6B362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'Szenario 1'!$C$5:$H$5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'Szenario 1'!$C$18:$H$18</c:f>
              <c:numCache>
                <c:formatCode>#,##0\ "€"</c:formatCode>
                <c:ptCount val="6"/>
                <c:pt idx="0">
                  <c:v>0</c:v>
                </c:pt>
                <c:pt idx="1">
                  <c:v>767350</c:v>
                </c:pt>
                <c:pt idx="2">
                  <c:v>2442244.8449999997</c:v>
                </c:pt>
                <c:pt idx="3">
                  <c:v>5181955.112120999</c:v>
                </c:pt>
                <c:pt idx="4">
                  <c:v>10995072.356898338</c:v>
                </c:pt>
                <c:pt idx="5">
                  <c:v>14580840.329291809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F2-4087-9384-7A6B6B36265A}"/>
            </c:ext>
          </c:extLst>
        </c:ser>
        <c:ser>
          <c:idx val="10"/>
          <c:order val="1"/>
          <c:tx>
            <c:strRef>
              <c:f>'Szenario 1'!$A$19</c:f>
              <c:strCache>
                <c:ptCount val="1"/>
                <c:pt idx="0">
                  <c:v>Deckungsbeitrag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2-4087-9384-7A6B6B3626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F2-4087-9384-7A6B6B3626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2-4087-9384-7A6B6B3626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F2-4087-9384-7A6B6B3626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F2-4087-9384-7A6B6B36265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de-DE" sz="10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Deckungsbeitrag; </a:t>
                    </a:r>
                  </a:p>
                  <a:p>
                    <a:r>
                      <a:rPr lang="de-DE" sz="10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15.650.200 €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F2-4087-9384-7A6B6B362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'Szenario 1'!$C$5:$H$5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'Szenario 1'!$C$19:$H$19</c:f>
              <c:numCache>
                <c:formatCode>#,##0\ "€"</c:formatCode>
                <c:ptCount val="6"/>
                <c:pt idx="0">
                  <c:v>0</c:v>
                </c:pt>
                <c:pt idx="1">
                  <c:v>509850</c:v>
                </c:pt>
                <c:pt idx="2">
                  <c:v>1614742.845</c:v>
                </c:pt>
                <c:pt idx="3">
                  <c:v>3477300.9921209994</c:v>
                </c:pt>
                <c:pt idx="4">
                  <c:v>7280893.2838983387</c:v>
                </c:pt>
                <c:pt idx="5">
                  <c:v>9798834.7728043105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F2-4087-9384-7A6B6B36265A}"/>
            </c:ext>
          </c:extLst>
        </c:ser>
        <c:ser>
          <c:idx val="18"/>
          <c:order val="2"/>
          <c:tx>
            <c:strRef>
              <c:f>'Szenario 1'!$A$27</c:f>
              <c:strCache>
                <c:ptCount val="1"/>
                <c:pt idx="0">
                  <c:v>EBIT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F2-4087-9384-7A6B6B3626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F2-4087-9384-7A6B6B3626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F2-4087-9384-7A6B6B3626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F2-4087-9384-7A6B6B3626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F2-4087-9384-7A6B6B36265A}"/>
                </c:ext>
              </c:extLst>
            </c:dLbl>
            <c:dLbl>
              <c:idx val="5"/>
              <c:layout>
                <c:manualLayout>
                  <c:x val="-1.3888888888888894E-3"/>
                  <c:y val="-1.7957351290684629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5F2-4087-9384-7A6B6B36265A}"/>
                </c:ext>
              </c:extLst>
            </c:dLbl>
            <c:dLbl>
              <c:idx val="6"/>
              <c:layout>
                <c:manualLayout>
                  <c:x val="-5.5555555555554517E-3"/>
                  <c:y val="-2.693602693602693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F2-4087-9384-7A6B6B362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'Szenario 1'!$C$5:$H$5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'Szenario 1'!$C$27:$H$27</c:f>
              <c:numCache>
                <c:formatCode>#,##0\ "€"</c:formatCode>
                <c:ptCount val="6"/>
                <c:pt idx="0">
                  <c:v>-870000</c:v>
                </c:pt>
                <c:pt idx="1">
                  <c:v>-160150</c:v>
                </c:pt>
                <c:pt idx="2">
                  <c:v>994742.84499999997</c:v>
                </c:pt>
                <c:pt idx="3">
                  <c:v>2745170.6513129328</c:v>
                </c:pt>
                <c:pt idx="4">
                  <c:v>6140893.2838983387</c:v>
                </c:pt>
                <c:pt idx="5">
                  <c:v>7292367.5464609656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5F2-4087-9384-7A6B6B36265A}"/>
            </c:ext>
          </c:extLst>
        </c:ser>
        <c:ser>
          <c:idx val="31"/>
          <c:order val="3"/>
          <c:tx>
            <c:strRef>
              <c:f>'Szenario 1'!$A$41</c:f>
              <c:strCache>
                <c:ptCount val="1"/>
                <c:pt idx="0">
                  <c:v>Cash Flow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F2-4087-9384-7A6B6B3626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F2-4087-9384-7A6B6B3626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F2-4087-9384-7A6B6B3626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F2-4087-9384-7A6B6B3626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F2-4087-9384-7A6B6B36265A}"/>
                </c:ext>
              </c:extLst>
            </c:dLbl>
            <c:dLbl>
              <c:idx val="5"/>
              <c:layout>
                <c:manualLayout>
                  <c:x val="2.7777777777777796E-3"/>
                  <c:y val="2.2446689113355782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5F2-4087-9384-7A6B6B36265A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55F2-4087-9384-7A6B6B362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'Szenario 1'!$C$5:$H$5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'Szenario 1'!$C$41:$H$41</c:f>
              <c:numCache>
                <c:formatCode>#,##0\ "€"</c:formatCode>
                <c:ptCount val="6"/>
                <c:pt idx="0">
                  <c:v>-2900000</c:v>
                </c:pt>
                <c:pt idx="1">
                  <c:v>-70101.666666666672</c:v>
                </c:pt>
                <c:pt idx="2">
                  <c:v>931428.87341666676</c:v>
                </c:pt>
                <c:pt idx="3">
                  <c:v>2499438.4406740828</c:v>
                </c:pt>
                <c:pt idx="4">
                  <c:v>3398885.3287308267</c:v>
                </c:pt>
                <c:pt idx="5">
                  <c:v>7119469.5216674749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5F2-4087-9384-7A6B6B36265A}"/>
            </c:ext>
          </c:extLst>
        </c:ser>
        <c:ser>
          <c:idx val="33"/>
          <c:order val="4"/>
          <c:tx>
            <c:strRef>
              <c:f>'Szenario 1'!$A$44</c:f>
              <c:strCache>
                <c:ptCount val="1"/>
                <c:pt idx="0">
                  <c:v>kumulierter DCF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F2-4087-9384-7A6B6B3626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F2-4087-9384-7A6B6B3626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F2-4087-9384-7A6B6B3626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F2-4087-9384-7A6B6B3626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F2-4087-9384-7A6B6B36265A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55F2-4087-9384-7A6B6B362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'Szenario 1'!$C$5:$H$5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'Szenario 1'!$C$44:$H$44</c:f>
              <c:numCache>
                <c:formatCode>#,##0\ "€"</c:formatCode>
                <c:ptCount val="6"/>
                <c:pt idx="0">
                  <c:v>-2521739.1304347827</c:v>
                </c:pt>
                <c:pt idx="1">
                  <c:v>-2574746.0617517331</c:v>
                </c:pt>
                <c:pt idx="2">
                  <c:v>-1962316.458124435</c:v>
                </c:pt>
                <c:pt idx="3">
                  <c:v>-533254.41750903777</c:v>
                </c:pt>
                <c:pt idx="4">
                  <c:v>1156592.2938826093</c:v>
                </c:pt>
                <c:pt idx="5">
                  <c:v>4234535.436350707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5F2-4087-9384-7A6B6B362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54496"/>
        <c:axId val="77356032"/>
      </c:lineChart>
      <c:catAx>
        <c:axId val="7735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3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35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7000"/>
                </a:srgb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35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83333333333348E-2"/>
          <c:y val="3.5353535353535352E-2"/>
          <c:w val="0.75208333333333355"/>
          <c:h val="0.92929292929292906"/>
        </c:manualLayout>
      </c:layout>
      <c:lineChart>
        <c:grouping val="standard"/>
        <c:varyColors val="0"/>
        <c:ser>
          <c:idx val="9"/>
          <c:order val="0"/>
          <c:tx>
            <c:strRef>
              <c:f>'Szenario 2'!$A$18</c:f>
              <c:strCache>
                <c:ptCount val="1"/>
                <c:pt idx="0">
                  <c:v>Umsatz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28-48FC-8BC4-0FFA34F4BB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8-48FC-8BC4-0FFA34F4BB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8-48FC-8BC4-0FFA34F4BB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8-48FC-8BC4-0FFA34F4BB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8-48FC-8BC4-0FFA34F4BBFB}"/>
                </c:ext>
              </c:extLst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028-48FC-8BC4-0FFA34F4B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'Szenario 2'!$C$5:$H$5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'Szenario 2'!$C$18:$H$18</c:f>
              <c:numCache>
                <c:formatCode>#,##0\ "€"</c:formatCode>
                <c:ptCount val="6"/>
                <c:pt idx="0">
                  <c:v>0</c:v>
                </c:pt>
                <c:pt idx="1">
                  <c:v>767350</c:v>
                </c:pt>
                <c:pt idx="2">
                  <c:v>2299978.1549999998</c:v>
                </c:pt>
                <c:pt idx="3">
                  <c:v>4737954.9992999993</c:v>
                </c:pt>
                <c:pt idx="4">
                  <c:v>10052992.91751474</c:v>
                </c:pt>
                <c:pt idx="5">
                  <c:v>12943228.381300226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28-48FC-8BC4-0FFA34F4BBFB}"/>
            </c:ext>
          </c:extLst>
        </c:ser>
        <c:ser>
          <c:idx val="10"/>
          <c:order val="1"/>
          <c:tx>
            <c:strRef>
              <c:f>'Szenario 2'!$A$19</c:f>
              <c:strCache>
                <c:ptCount val="1"/>
                <c:pt idx="0">
                  <c:v>Deckungsbeitrag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28-48FC-8BC4-0FFA34F4BB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28-48FC-8BC4-0FFA34F4BB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28-48FC-8BC4-0FFA34F4BB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28-48FC-8BC4-0FFA34F4BB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28-48FC-8BC4-0FFA34F4BBF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de-DE" sz="10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Deckungsbeitrag; </a:t>
                    </a:r>
                  </a:p>
                  <a:p>
                    <a:r>
                      <a:rPr lang="de-DE" sz="10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15.650.200 €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28-48FC-8BC4-0FFA34F4B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'Szenario 2'!$C$5:$H$5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'Szenario 2'!$C$19:$H$19</c:f>
              <c:numCache>
                <c:formatCode>#,##0\ "€"</c:formatCode>
                <c:ptCount val="6"/>
                <c:pt idx="0">
                  <c:v>0</c:v>
                </c:pt>
                <c:pt idx="1">
                  <c:v>509850</c:v>
                </c:pt>
                <c:pt idx="2">
                  <c:v>1472476.1549999998</c:v>
                </c:pt>
                <c:pt idx="3">
                  <c:v>3033300.8792999997</c:v>
                </c:pt>
                <c:pt idx="4">
                  <c:v>6338813.8445147388</c:v>
                </c:pt>
                <c:pt idx="5">
                  <c:v>8161222.8248127261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28-48FC-8BC4-0FFA34F4BBFB}"/>
            </c:ext>
          </c:extLst>
        </c:ser>
        <c:ser>
          <c:idx val="18"/>
          <c:order val="2"/>
          <c:tx>
            <c:strRef>
              <c:f>'Szenario 2'!$A$27</c:f>
              <c:strCache>
                <c:ptCount val="1"/>
                <c:pt idx="0">
                  <c:v>EBIT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28-48FC-8BC4-0FFA34F4BB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28-48FC-8BC4-0FFA34F4BB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28-48FC-8BC4-0FFA34F4BB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28-48FC-8BC4-0FFA34F4BB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28-48FC-8BC4-0FFA34F4BBFB}"/>
                </c:ext>
              </c:extLst>
            </c:dLbl>
            <c:dLbl>
              <c:idx val="5"/>
              <c:layout>
                <c:manualLayout>
                  <c:x val="-1.38888888888889E-3"/>
                  <c:y val="-1.7957351290684632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28-48FC-8BC4-0FFA34F4BBFB}"/>
                </c:ext>
              </c:extLst>
            </c:dLbl>
            <c:dLbl>
              <c:idx val="6"/>
              <c:layout>
                <c:manualLayout>
                  <c:x val="-5.5555555555554508E-3"/>
                  <c:y val="-2.693602693602693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28-48FC-8BC4-0FFA34F4B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'Szenario 2'!$C$5:$H$5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'Szenario 2'!$C$27:$H$27</c:f>
              <c:numCache>
                <c:formatCode>#,##0\ "€"</c:formatCode>
                <c:ptCount val="6"/>
                <c:pt idx="0">
                  <c:v>-870000</c:v>
                </c:pt>
                <c:pt idx="1">
                  <c:v>-160150</c:v>
                </c:pt>
                <c:pt idx="2">
                  <c:v>652476.1549999998</c:v>
                </c:pt>
                <c:pt idx="3">
                  <c:v>2330770.5460133329</c:v>
                </c:pt>
                <c:pt idx="4">
                  <c:v>5198813.8445147388</c:v>
                </c:pt>
                <c:pt idx="5">
                  <c:v>5785764.5543087078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28-48FC-8BC4-0FFA34F4BBFB}"/>
            </c:ext>
          </c:extLst>
        </c:ser>
        <c:ser>
          <c:idx val="31"/>
          <c:order val="3"/>
          <c:tx>
            <c:strRef>
              <c:f>'Szenario 2'!$A$41</c:f>
              <c:strCache>
                <c:ptCount val="1"/>
                <c:pt idx="0">
                  <c:v>Cash Flow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28-48FC-8BC4-0FFA34F4BB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28-48FC-8BC4-0FFA34F4BB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28-48FC-8BC4-0FFA34F4BB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28-48FC-8BC4-0FFA34F4BB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28-48FC-8BC4-0FFA34F4BBFB}"/>
                </c:ext>
              </c:extLst>
            </c:dLbl>
            <c:dLbl>
              <c:idx val="5"/>
              <c:layout>
                <c:manualLayout>
                  <c:x val="2.7777777777777809E-3"/>
                  <c:y val="2.2446689113355782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28-48FC-8BC4-0FFA34F4BBFB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028-48FC-8BC4-0FFA34F4B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'Szenario 2'!$C$5:$H$5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'Szenario 2'!$C$41:$H$41</c:f>
              <c:numCache>
                <c:formatCode>#,##0\ "€"</c:formatCode>
                <c:ptCount val="6"/>
                <c:pt idx="0">
                  <c:v>-2900000</c:v>
                </c:pt>
                <c:pt idx="1">
                  <c:v>-70101.666666666672</c:v>
                </c:pt>
                <c:pt idx="2">
                  <c:v>615244.40991666645</c:v>
                </c:pt>
                <c:pt idx="3">
                  <c:v>2140356.1295583327</c:v>
                </c:pt>
                <c:pt idx="4">
                  <c:v>2548120.4325503698</c:v>
                </c:pt>
                <c:pt idx="5">
                  <c:v>5740380.8227600157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028-48FC-8BC4-0FFA34F4BBFB}"/>
            </c:ext>
          </c:extLst>
        </c:ser>
        <c:ser>
          <c:idx val="33"/>
          <c:order val="4"/>
          <c:tx>
            <c:strRef>
              <c:f>'Szenario 2'!$A$44</c:f>
              <c:strCache>
                <c:ptCount val="1"/>
                <c:pt idx="0">
                  <c:v>kumulierter DCF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28-48FC-8BC4-0FFA34F4BB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28-48FC-8BC4-0FFA34F4BB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28-48FC-8BC4-0FFA34F4BB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28-48FC-8BC4-0FFA34F4BB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28-48FC-8BC4-0FFA34F4BBFB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6028-48FC-8BC4-0FFA34F4B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'Szenario 2'!$C$5:$H$5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'Szenario 2'!$C$44:$H$44</c:f>
              <c:numCache>
                <c:formatCode>#,##0\ "€"</c:formatCode>
                <c:ptCount val="6"/>
                <c:pt idx="0">
                  <c:v>-2521739.1304347827</c:v>
                </c:pt>
                <c:pt idx="1">
                  <c:v>-2574746.0617517331</c:v>
                </c:pt>
                <c:pt idx="2">
                  <c:v>-2170212.8753184848</c:v>
                </c:pt>
                <c:pt idx="3">
                  <c:v>-946457.31151856505</c:v>
                </c:pt>
                <c:pt idx="4">
                  <c:v>320408.88628369407</c:v>
                </c:pt>
                <c:pt idx="5">
                  <c:v>2802133.9270043345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028-48FC-8BC4-0FFA34F4B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34560"/>
        <c:axId val="79236096"/>
      </c:lineChart>
      <c:catAx>
        <c:axId val="79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23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3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7000"/>
                </a:srgb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923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0" sqref="B10"/>
    </sheetView>
  </sheetViews>
  <sheetFormatPr baseColWidth="10" defaultRowHeight="12.75" x14ac:dyDescent="0.2"/>
  <cols>
    <col min="1" max="1" width="32.7109375" customWidth="1"/>
    <col min="2" max="2" width="9.28515625" bestFit="1" customWidth="1"/>
    <col min="3" max="8" width="16" customWidth="1"/>
    <col min="9" max="10" width="13.5703125" customWidth="1"/>
  </cols>
  <sheetData>
    <row r="1" spans="1:11" ht="20.25" x14ac:dyDescent="0.3">
      <c r="A1" s="1" t="s">
        <v>49</v>
      </c>
      <c r="B1" s="1"/>
    </row>
    <row r="3" spans="1:11" s="2" customFormat="1" x14ac:dyDescent="0.2">
      <c r="A3" s="2" t="s">
        <v>0</v>
      </c>
      <c r="C3" s="2" t="s">
        <v>23</v>
      </c>
    </row>
    <row r="5" spans="1:11" x14ac:dyDescent="0.2">
      <c r="A5" t="s">
        <v>24</v>
      </c>
      <c r="B5" t="s">
        <v>34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J5" t="s">
        <v>43</v>
      </c>
    </row>
    <row r="6" spans="1:11" x14ac:dyDescent="0.2">
      <c r="A6" t="s">
        <v>1</v>
      </c>
      <c r="B6" t="s">
        <v>25</v>
      </c>
      <c r="C6" s="18">
        <v>50000</v>
      </c>
      <c r="D6" s="18">
        <f>C6*(1+$J6)</f>
        <v>51500</v>
      </c>
      <c r="E6" s="18">
        <f>D6*(1+$J6)</f>
        <v>53045</v>
      </c>
      <c r="F6" s="18">
        <f>E6*(1+$J6)</f>
        <v>54636.35</v>
      </c>
      <c r="G6" s="18">
        <f>F6*(1+$J6)</f>
        <v>56275.440499999997</v>
      </c>
      <c r="H6" s="18">
        <f>G6*(1+$J6)</f>
        <v>57963.703714999996</v>
      </c>
      <c r="J6" s="17">
        <v>0.03</v>
      </c>
      <c r="K6" t="s">
        <v>44</v>
      </c>
    </row>
    <row r="7" spans="1:11" x14ac:dyDescent="0.2">
      <c r="A7" s="20" t="s">
        <v>46</v>
      </c>
      <c r="B7" t="s">
        <v>26</v>
      </c>
      <c r="C7" s="18">
        <v>1800</v>
      </c>
      <c r="D7" s="18">
        <f>C7*(1+D8)</f>
        <v>1800</v>
      </c>
      <c r="E7" s="18">
        <f>D7*(1+E8)</f>
        <v>1854</v>
      </c>
      <c r="F7" s="18">
        <f>E7*(1+F8)</f>
        <v>1909.6200000000001</v>
      </c>
      <c r="G7" s="18">
        <f>F7*(1+G8)</f>
        <v>1966.9086000000002</v>
      </c>
      <c r="H7" s="18">
        <f>G7*(1+H8)</f>
        <v>2025.9158580000003</v>
      </c>
      <c r="J7" s="17"/>
    </row>
    <row r="8" spans="1:11" x14ac:dyDescent="0.2">
      <c r="A8" s="20" t="s">
        <v>45</v>
      </c>
      <c r="B8" t="s">
        <v>26</v>
      </c>
      <c r="C8" s="11">
        <v>0</v>
      </c>
      <c r="D8" s="11">
        <v>0</v>
      </c>
      <c r="E8" s="11">
        <v>0.03</v>
      </c>
      <c r="F8" s="11">
        <v>0.03</v>
      </c>
      <c r="G8" s="11">
        <v>0.03</v>
      </c>
      <c r="H8" s="11">
        <v>0.03</v>
      </c>
    </row>
    <row r="9" spans="1:11" x14ac:dyDescent="0.2">
      <c r="A9" t="s">
        <v>27</v>
      </c>
      <c r="B9" t="s">
        <v>3</v>
      </c>
      <c r="C9" s="4">
        <f t="shared" ref="C9:H9" si="0">C6*1500</f>
        <v>75000000</v>
      </c>
      <c r="D9" s="4">
        <f t="shared" si="0"/>
        <v>77250000</v>
      </c>
      <c r="E9" s="4">
        <f t="shared" si="0"/>
        <v>79567500</v>
      </c>
      <c r="F9" s="4">
        <f t="shared" si="0"/>
        <v>81954525</v>
      </c>
      <c r="G9" s="4">
        <f t="shared" si="0"/>
        <v>84413160.75</v>
      </c>
      <c r="H9" s="4">
        <f t="shared" si="0"/>
        <v>86945555.57249999</v>
      </c>
      <c r="I9" s="3"/>
      <c r="J9" s="3"/>
    </row>
    <row r="10" spans="1:11" x14ac:dyDescent="0.2">
      <c r="C10" s="4"/>
      <c r="D10" s="4"/>
      <c r="E10" s="4"/>
      <c r="F10" s="4"/>
      <c r="G10" s="4"/>
      <c r="H10" s="4"/>
      <c r="I10" s="3"/>
      <c r="J10" s="3"/>
    </row>
    <row r="11" spans="1:11" x14ac:dyDescent="0.2">
      <c r="A11" t="s">
        <v>31</v>
      </c>
      <c r="B11" t="s">
        <v>4</v>
      </c>
      <c r="C11" s="17">
        <v>0</v>
      </c>
      <c r="D11" s="17">
        <v>0.01</v>
      </c>
      <c r="E11" s="17">
        <v>0.03</v>
      </c>
      <c r="F11" s="17">
        <v>0.06</v>
      </c>
      <c r="G11" s="17">
        <v>0.12</v>
      </c>
      <c r="H11" s="17">
        <v>0.15</v>
      </c>
    </row>
    <row r="12" spans="1:11" x14ac:dyDescent="0.2">
      <c r="A12" t="s">
        <v>28</v>
      </c>
      <c r="B12" t="s">
        <v>5</v>
      </c>
      <c r="C12">
        <f t="shared" ref="C12:H12" si="1">C11*C6</f>
        <v>0</v>
      </c>
      <c r="D12" s="18">
        <f t="shared" si="1"/>
        <v>515</v>
      </c>
      <c r="E12" s="18">
        <f t="shared" si="1"/>
        <v>1591.35</v>
      </c>
      <c r="F12" s="18">
        <f t="shared" si="1"/>
        <v>3278.1809999999996</v>
      </c>
      <c r="G12" s="18">
        <f t="shared" si="1"/>
        <v>6753.0528599999998</v>
      </c>
      <c r="H12" s="18">
        <f t="shared" si="1"/>
        <v>8694.5555572499998</v>
      </c>
    </row>
    <row r="13" spans="1:11" x14ac:dyDescent="0.2">
      <c r="D13" s="5"/>
      <c r="E13" s="5"/>
      <c r="F13" s="5"/>
      <c r="G13" s="5"/>
      <c r="H13" s="5"/>
    </row>
    <row r="14" spans="1:11" x14ac:dyDescent="0.2">
      <c r="A14" t="s">
        <v>6</v>
      </c>
      <c r="B14" t="s">
        <v>3</v>
      </c>
      <c r="C14" s="4">
        <v>1490</v>
      </c>
      <c r="D14" s="4">
        <f>C14*(1+D8)</f>
        <v>1490</v>
      </c>
      <c r="E14" s="4">
        <f>D14*(1+E8)</f>
        <v>1534.7</v>
      </c>
      <c r="F14" s="4">
        <f>E14*(1+F8)</f>
        <v>1580.741</v>
      </c>
      <c r="G14" s="4">
        <f>F14*(1+G8)</f>
        <v>1628.1632300000001</v>
      </c>
      <c r="H14" s="4">
        <f>G14*(1+H8)</f>
        <v>1677.0081269000002</v>
      </c>
    </row>
    <row r="15" spans="1:11" x14ac:dyDescent="0.2">
      <c r="A15" t="s">
        <v>29</v>
      </c>
      <c r="B15" t="s">
        <v>3</v>
      </c>
      <c r="C15" s="4">
        <v>500</v>
      </c>
      <c r="D15" s="4">
        <v>500</v>
      </c>
      <c r="E15" s="4">
        <v>520</v>
      </c>
      <c r="F15" s="4">
        <v>520</v>
      </c>
      <c r="G15" s="4">
        <v>550</v>
      </c>
      <c r="H15" s="4">
        <v>550</v>
      </c>
    </row>
    <row r="16" spans="1:11" x14ac:dyDescent="0.2">
      <c r="A16" t="s">
        <v>30</v>
      </c>
      <c r="B16" t="s">
        <v>3</v>
      </c>
      <c r="C16" s="4">
        <f t="shared" ref="C16:H16" si="2">C14-C15</f>
        <v>990</v>
      </c>
      <c r="D16" s="4">
        <f t="shared" si="2"/>
        <v>990</v>
      </c>
      <c r="E16" s="4">
        <f t="shared" si="2"/>
        <v>1014.7</v>
      </c>
      <c r="F16" s="4">
        <f t="shared" si="2"/>
        <v>1060.741</v>
      </c>
      <c r="G16" s="4">
        <f t="shared" si="2"/>
        <v>1078.1632300000001</v>
      </c>
      <c r="H16" s="4">
        <f t="shared" si="2"/>
        <v>1127.0081269000002</v>
      </c>
    </row>
    <row r="17" spans="1:8" x14ac:dyDescent="0.2">
      <c r="C17" s="4"/>
      <c r="D17" s="4"/>
      <c r="E17" s="4"/>
      <c r="F17" s="4"/>
      <c r="G17" s="4"/>
      <c r="H17" s="4"/>
    </row>
    <row r="18" spans="1:8" x14ac:dyDescent="0.2">
      <c r="A18" t="s">
        <v>7</v>
      </c>
      <c r="B18" t="s">
        <v>3</v>
      </c>
      <c r="C18" s="4">
        <f t="shared" ref="C18:H18" si="3">C14*C12</f>
        <v>0</v>
      </c>
      <c r="D18" s="4">
        <f t="shared" si="3"/>
        <v>767350</v>
      </c>
      <c r="E18" s="4">
        <f t="shared" si="3"/>
        <v>2442244.8449999997</v>
      </c>
      <c r="F18" s="4">
        <f t="shared" si="3"/>
        <v>5181955.112120999</v>
      </c>
      <c r="G18" s="4">
        <f t="shared" si="3"/>
        <v>10995072.356898338</v>
      </c>
      <c r="H18" s="4">
        <f t="shared" si="3"/>
        <v>14580840.329291809</v>
      </c>
    </row>
    <row r="19" spans="1:8" x14ac:dyDescent="0.2">
      <c r="A19" t="s">
        <v>8</v>
      </c>
      <c r="B19" t="s">
        <v>3</v>
      </c>
      <c r="C19" s="4">
        <f t="shared" ref="C19:H19" si="4">(C14-C15)*C12</f>
        <v>0</v>
      </c>
      <c r="D19" s="4">
        <f t="shared" si="4"/>
        <v>509850</v>
      </c>
      <c r="E19" s="4">
        <f t="shared" si="4"/>
        <v>1614742.845</v>
      </c>
      <c r="F19" s="4">
        <f t="shared" si="4"/>
        <v>3477300.9921209994</v>
      </c>
      <c r="G19" s="4">
        <f t="shared" si="4"/>
        <v>7280893.2838983387</v>
      </c>
      <c r="H19" s="4">
        <f t="shared" si="4"/>
        <v>9798834.7728043105</v>
      </c>
    </row>
    <row r="20" spans="1:8" x14ac:dyDescent="0.2">
      <c r="A20" s="20" t="s">
        <v>47</v>
      </c>
      <c r="B20" t="s">
        <v>3</v>
      </c>
      <c r="C20" s="4">
        <f t="shared" ref="C20:H20" si="5">C32</f>
        <v>220000</v>
      </c>
      <c r="D20" s="4">
        <f t="shared" si="5"/>
        <v>220000</v>
      </c>
      <c r="E20" s="4">
        <f t="shared" si="5"/>
        <v>220000</v>
      </c>
      <c r="F20" s="4">
        <f t="shared" si="5"/>
        <v>220000</v>
      </c>
      <c r="G20" s="4">
        <f t="shared" si="5"/>
        <v>440000</v>
      </c>
      <c r="H20" s="4">
        <f t="shared" si="5"/>
        <v>440000</v>
      </c>
    </row>
    <row r="21" spans="1:8" x14ac:dyDescent="0.2">
      <c r="A21" t="s">
        <v>32</v>
      </c>
      <c r="B21" t="s">
        <v>9</v>
      </c>
      <c r="C21" s="19">
        <v>2</v>
      </c>
      <c r="D21" s="19">
        <v>2</v>
      </c>
      <c r="E21" s="19">
        <v>3</v>
      </c>
      <c r="F21" s="19">
        <f>(F18-2000000)/1500000+2</f>
        <v>4.1213034080806654</v>
      </c>
      <c r="G21" s="19">
        <v>6</v>
      </c>
      <c r="H21" s="19">
        <v>8</v>
      </c>
    </row>
    <row r="22" spans="1:8" x14ac:dyDescent="0.2">
      <c r="A22" t="s">
        <v>33</v>
      </c>
      <c r="B22" t="s">
        <v>3</v>
      </c>
      <c r="C22" s="4">
        <f t="shared" ref="C22:H22" si="6">100000*C21</f>
        <v>200000</v>
      </c>
      <c r="D22" s="4">
        <f t="shared" si="6"/>
        <v>200000</v>
      </c>
      <c r="E22" s="4">
        <f t="shared" si="6"/>
        <v>300000</v>
      </c>
      <c r="F22" s="4">
        <f t="shared" si="6"/>
        <v>412130.34080806654</v>
      </c>
      <c r="G22" s="4">
        <f t="shared" si="6"/>
        <v>600000</v>
      </c>
      <c r="H22" s="4">
        <f t="shared" si="6"/>
        <v>800000</v>
      </c>
    </row>
    <row r="23" spans="1:8" x14ac:dyDescent="0.2">
      <c r="A23" t="s">
        <v>11</v>
      </c>
      <c r="B23" t="s">
        <v>3</v>
      </c>
      <c r="C23" s="4">
        <v>100000</v>
      </c>
      <c r="D23" s="4">
        <v>100000</v>
      </c>
      <c r="E23" s="4">
        <v>100000</v>
      </c>
      <c r="F23" s="4">
        <v>100000</v>
      </c>
      <c r="G23" s="4">
        <v>100000</v>
      </c>
      <c r="H23" s="4">
        <v>100000</v>
      </c>
    </row>
    <row r="24" spans="1:8" x14ac:dyDescent="0.2">
      <c r="A24" t="s">
        <v>14</v>
      </c>
      <c r="B24" t="s">
        <v>3</v>
      </c>
      <c r="C24" s="4">
        <v>350000</v>
      </c>
      <c r="D24" s="4">
        <v>150000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">
      <c r="A25" t="s">
        <v>10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>0.08*H18</f>
        <v>1166467.2263433447</v>
      </c>
    </row>
    <row r="26" spans="1:8" ht="7.5" customHeight="1" thickBot="1" x14ac:dyDescent="0.25">
      <c r="A26" s="6"/>
      <c r="B26" s="6"/>
      <c r="C26" s="6"/>
      <c r="D26" s="6"/>
      <c r="E26" s="6"/>
      <c r="F26" s="6"/>
      <c r="G26" s="6"/>
      <c r="H26" s="6"/>
    </row>
    <row r="27" spans="1:8" s="2" customFormat="1" ht="16.5" customHeight="1" x14ac:dyDescent="0.2">
      <c r="A27" s="8" t="s">
        <v>12</v>
      </c>
      <c r="C27" s="9">
        <f t="shared" ref="C27:H27" si="7">C19-C20-C22-C23-C25-C24</f>
        <v>-870000</v>
      </c>
      <c r="D27" s="9">
        <f t="shared" si="7"/>
        <v>-160150</v>
      </c>
      <c r="E27" s="9">
        <f>E19-E20-E22-E23-E25-E24</f>
        <v>994742.84499999997</v>
      </c>
      <c r="F27" s="9">
        <f t="shared" si="7"/>
        <v>2745170.6513129328</v>
      </c>
      <c r="G27" s="9">
        <f t="shared" si="7"/>
        <v>6140893.2838983387</v>
      </c>
      <c r="H27" s="9">
        <f t="shared" si="7"/>
        <v>7292367.5464609656</v>
      </c>
    </row>
    <row r="28" spans="1:8" s="2" customFormat="1" x14ac:dyDescent="0.2">
      <c r="A28" s="8" t="s">
        <v>13</v>
      </c>
      <c r="C28" s="10"/>
      <c r="D28" s="10">
        <f>D27/D18</f>
        <v>-0.20870528442040789</v>
      </c>
      <c r="E28" s="10">
        <f>E27/E18</f>
        <v>0.4073067641176657</v>
      </c>
      <c r="F28" s="10">
        <f>F27/F18</f>
        <v>0.52975577594096934</v>
      </c>
      <c r="G28" s="10">
        <f>G27/G18</f>
        <v>0.55851322161109074</v>
      </c>
      <c r="H28" s="10">
        <f>H27/H18</f>
        <v>0.50013355758454803</v>
      </c>
    </row>
    <row r="30" spans="1:8" x14ac:dyDescent="0.2">
      <c r="A30" s="2" t="s">
        <v>19</v>
      </c>
    </row>
    <row r="31" spans="1:8" x14ac:dyDescent="0.2">
      <c r="A31" t="s">
        <v>16</v>
      </c>
      <c r="B31" t="s">
        <v>2</v>
      </c>
      <c r="C31">
        <v>1</v>
      </c>
      <c r="D31">
        <v>1</v>
      </c>
      <c r="E31">
        <v>1</v>
      </c>
      <c r="F31">
        <v>1</v>
      </c>
      <c r="G31">
        <v>2</v>
      </c>
      <c r="H31">
        <v>2</v>
      </c>
    </row>
    <row r="32" spans="1:8" x14ac:dyDescent="0.2">
      <c r="A32" t="s">
        <v>17</v>
      </c>
      <c r="B32" t="s">
        <v>3</v>
      </c>
      <c r="C32" s="4">
        <f t="shared" ref="C32:H32" si="8">220000*C31</f>
        <v>220000</v>
      </c>
      <c r="D32" s="4">
        <f t="shared" si="8"/>
        <v>220000</v>
      </c>
      <c r="E32" s="4">
        <f t="shared" si="8"/>
        <v>220000</v>
      </c>
      <c r="F32" s="4">
        <f t="shared" si="8"/>
        <v>220000</v>
      </c>
      <c r="G32" s="4">
        <f t="shared" si="8"/>
        <v>440000</v>
      </c>
      <c r="H32" s="4">
        <f t="shared" si="8"/>
        <v>440000</v>
      </c>
    </row>
    <row r="33" spans="1:8" x14ac:dyDescent="0.2">
      <c r="A33" t="s">
        <v>15</v>
      </c>
      <c r="B33" t="s">
        <v>3</v>
      </c>
      <c r="C33" s="4">
        <f>-2200000</f>
        <v>-2200000</v>
      </c>
      <c r="D33" s="4"/>
      <c r="E33" s="4"/>
      <c r="F33" s="4"/>
      <c r="G33" s="4">
        <f>-2200000</f>
        <v>-2200000</v>
      </c>
      <c r="H33" s="4"/>
    </row>
    <row r="34" spans="1:8" x14ac:dyDescent="0.2">
      <c r="A34" s="2" t="s">
        <v>41</v>
      </c>
    </row>
    <row r="35" spans="1:8" s="13" customFormat="1" ht="11.25" x14ac:dyDescent="0.2">
      <c r="A35" s="13" t="s">
        <v>18</v>
      </c>
      <c r="B35" s="13" t="s">
        <v>3</v>
      </c>
      <c r="C35" s="15">
        <f t="shared" ref="C35:H35" si="9">C18/12</f>
        <v>0</v>
      </c>
      <c r="D35" s="15">
        <f>D18/12</f>
        <v>63945.833333333336</v>
      </c>
      <c r="E35" s="15">
        <f t="shared" si="9"/>
        <v>203520.40374999997</v>
      </c>
      <c r="F35" s="15">
        <f t="shared" si="9"/>
        <v>431829.59267674992</v>
      </c>
      <c r="G35" s="15">
        <f t="shared" si="9"/>
        <v>916256.02974152809</v>
      </c>
      <c r="H35" s="15">
        <f t="shared" si="9"/>
        <v>1215070.027440984</v>
      </c>
    </row>
    <row r="36" spans="1:8" s="13" customFormat="1" ht="11.25" x14ac:dyDescent="0.2">
      <c r="A36" s="13" t="s">
        <v>21</v>
      </c>
      <c r="B36" s="13" t="s">
        <v>3</v>
      </c>
      <c r="C36" s="15">
        <v>0</v>
      </c>
      <c r="D36" s="15">
        <f>C35-D35</f>
        <v>-63945.833333333336</v>
      </c>
      <c r="E36" s="15">
        <f>D35-E35</f>
        <v>-139574.57041666663</v>
      </c>
      <c r="F36" s="15">
        <f>E35-F35</f>
        <v>-228309.18892674995</v>
      </c>
      <c r="G36" s="15">
        <f>F35-G35</f>
        <v>-484426.43706477818</v>
      </c>
      <c r="H36" s="15">
        <f>G35-H35</f>
        <v>-298813.99769945594</v>
      </c>
    </row>
    <row r="37" spans="1:8" s="13" customFormat="1" ht="11.25" x14ac:dyDescent="0.2">
      <c r="A37" s="13" t="s">
        <v>20</v>
      </c>
      <c r="B37" s="13" t="s">
        <v>3</v>
      </c>
      <c r="C37" s="15">
        <f t="shared" ref="C37:H37" si="10">50000+0.1*C18</f>
        <v>50000</v>
      </c>
      <c r="D37" s="15">
        <f t="shared" si="10"/>
        <v>126735</v>
      </c>
      <c r="E37" s="15">
        <f t="shared" si="10"/>
        <v>294224.48450000002</v>
      </c>
      <c r="F37" s="15">
        <f t="shared" si="10"/>
        <v>568195.51121209993</v>
      </c>
      <c r="G37" s="15">
        <f t="shared" si="10"/>
        <v>1149507.2356898338</v>
      </c>
      <c r="H37" s="15">
        <f t="shared" si="10"/>
        <v>1508084.0329291811</v>
      </c>
    </row>
    <row r="38" spans="1:8" s="13" customFormat="1" ht="11.25" x14ac:dyDescent="0.2">
      <c r="A38" s="13" t="s">
        <v>22</v>
      </c>
      <c r="B38" s="13" t="s">
        <v>3</v>
      </c>
      <c r="C38" s="15">
        <f>-C37</f>
        <v>-50000</v>
      </c>
      <c r="D38" s="15">
        <f>C37-D37</f>
        <v>-76735</v>
      </c>
      <c r="E38" s="15">
        <f>D37-E37</f>
        <v>-167489.48450000002</v>
      </c>
      <c r="F38" s="15">
        <f>E37-F37</f>
        <v>-273971.02671209991</v>
      </c>
      <c r="G38" s="15">
        <f>F37-G37</f>
        <v>-581311.72447773383</v>
      </c>
      <c r="H38" s="15">
        <f>G37-H37</f>
        <v>-358576.79723934736</v>
      </c>
    </row>
    <row r="39" spans="1:8" s="13" customFormat="1" ht="11.25" x14ac:dyDescent="0.2">
      <c r="A39" s="13" t="s">
        <v>39</v>
      </c>
      <c r="C39" s="15">
        <f t="shared" ref="C39:H39" si="11">C15*0.5*C12/12</f>
        <v>0</v>
      </c>
      <c r="D39" s="15">
        <f t="shared" si="11"/>
        <v>10729.166666666666</v>
      </c>
      <c r="E39" s="15">
        <f t="shared" si="11"/>
        <v>34479.25</v>
      </c>
      <c r="F39" s="15">
        <f t="shared" si="11"/>
        <v>71027.25499999999</v>
      </c>
      <c r="G39" s="15">
        <f t="shared" si="11"/>
        <v>154757.46137499998</v>
      </c>
      <c r="H39" s="15">
        <f t="shared" si="11"/>
        <v>199250.23152031249</v>
      </c>
    </row>
    <row r="40" spans="1:8" s="13" customFormat="1" ht="12" thickBot="1" x14ac:dyDescent="0.25">
      <c r="A40" s="14" t="s">
        <v>40</v>
      </c>
      <c r="B40" s="14"/>
      <c r="C40" s="16">
        <f t="shared" ref="C40:H40" si="12">C39-B39</f>
        <v>0</v>
      </c>
      <c r="D40" s="16">
        <f t="shared" si="12"/>
        <v>10729.166666666666</v>
      </c>
      <c r="E40" s="16">
        <f t="shared" si="12"/>
        <v>23750.083333333336</v>
      </c>
      <c r="F40" s="16">
        <f t="shared" si="12"/>
        <v>36548.00499999999</v>
      </c>
      <c r="G40" s="16">
        <f t="shared" si="12"/>
        <v>83730.206374999994</v>
      </c>
      <c r="H40" s="16">
        <f t="shared" si="12"/>
        <v>44492.770145312505</v>
      </c>
    </row>
    <row r="41" spans="1:8" ht="16.5" customHeight="1" x14ac:dyDescent="0.2">
      <c r="A41" s="7" t="s">
        <v>36</v>
      </c>
      <c r="C41" s="4">
        <f t="shared" ref="C41:H41" si="13">C27+C32+C33+C36+C38+C40</f>
        <v>-2900000</v>
      </c>
      <c r="D41" s="4">
        <f t="shared" si="13"/>
        <v>-70101.666666666672</v>
      </c>
      <c r="E41" s="4">
        <f t="shared" si="13"/>
        <v>931428.87341666676</v>
      </c>
      <c r="F41" s="4">
        <f t="shared" si="13"/>
        <v>2499438.4406740828</v>
      </c>
      <c r="G41" s="4">
        <f t="shared" si="13"/>
        <v>3398885.3287308267</v>
      </c>
      <c r="H41" s="4">
        <f t="shared" si="13"/>
        <v>7119469.5216674749</v>
      </c>
    </row>
    <row r="42" spans="1:8" x14ac:dyDescent="0.2">
      <c r="A42" s="7" t="s">
        <v>35</v>
      </c>
      <c r="B42" s="11">
        <v>0.15</v>
      </c>
      <c r="C42" s="12">
        <f t="shared" ref="C42:H42" si="14">1/(1+$B42)^C5</f>
        <v>0.86956521739130443</v>
      </c>
      <c r="D42" s="12">
        <f t="shared" si="14"/>
        <v>0.7561436672967865</v>
      </c>
      <c r="E42" s="12">
        <f t="shared" si="14"/>
        <v>0.65751623243198831</v>
      </c>
      <c r="F42" s="12">
        <f t="shared" si="14"/>
        <v>0.57175324559303342</v>
      </c>
      <c r="G42" s="12">
        <f t="shared" si="14"/>
        <v>0.49717673529828987</v>
      </c>
      <c r="H42" s="12">
        <f t="shared" si="14"/>
        <v>0.43232759591155645</v>
      </c>
    </row>
    <row r="43" spans="1:8" x14ac:dyDescent="0.2">
      <c r="A43" s="7" t="s">
        <v>42</v>
      </c>
      <c r="C43" s="4">
        <f t="shared" ref="C43:H43" si="15">C41*C42</f>
        <v>-2521739.1304347827</v>
      </c>
      <c r="D43" s="4">
        <f t="shared" si="15"/>
        <v>-53006.931316950235</v>
      </c>
      <c r="E43" s="4">
        <f t="shared" si="15"/>
        <v>612429.60362729803</v>
      </c>
      <c r="F43" s="4">
        <f t="shared" si="15"/>
        <v>1429062.0406153973</v>
      </c>
      <c r="G43" s="4">
        <f t="shared" si="15"/>
        <v>1689846.7113916471</v>
      </c>
      <c r="H43" s="4">
        <f t="shared" si="15"/>
        <v>3077943.1424680981</v>
      </c>
    </row>
    <row r="44" spans="1:8" x14ac:dyDescent="0.2">
      <c r="A44" s="7" t="s">
        <v>38</v>
      </c>
      <c r="C44" s="4">
        <f>C43</f>
        <v>-2521739.1304347827</v>
      </c>
      <c r="D44" s="4">
        <f>C44+D43</f>
        <v>-2574746.0617517331</v>
      </c>
      <c r="E44" s="4">
        <f>D44+E43</f>
        <v>-1962316.458124435</v>
      </c>
      <c r="F44" s="4">
        <f>E44+F43</f>
        <v>-533254.41750903777</v>
      </c>
      <c r="G44" s="4">
        <f>F44+G43</f>
        <v>1156592.2938826093</v>
      </c>
      <c r="H44" s="4">
        <f>G44+H43</f>
        <v>4234535.436350707</v>
      </c>
    </row>
    <row r="45" spans="1:8" x14ac:dyDescent="0.2">
      <c r="A45" s="7" t="s">
        <v>37</v>
      </c>
      <c r="C45" s="4">
        <f>SUM(C43:H43)</f>
        <v>4234535.436350707</v>
      </c>
    </row>
    <row r="46" spans="1:8" x14ac:dyDescent="0.2">
      <c r="A46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42" zoomScaleNormal="142" workbookViewId="0">
      <pane xSplit="2" ySplit="5" topLeftCell="E8" activePane="bottomRight" state="frozen"/>
      <selection pane="topRight" activeCell="C1" sqref="C1"/>
      <selection pane="bottomLeft" activeCell="A6" sqref="A6"/>
      <selection pane="bottomRight" activeCell="H19" sqref="H19"/>
    </sheetView>
  </sheetViews>
  <sheetFormatPr baseColWidth="10" defaultRowHeight="12.75" x14ac:dyDescent="0.2"/>
  <cols>
    <col min="1" max="1" width="32.7109375" customWidth="1"/>
    <col min="2" max="2" width="9.28515625" bestFit="1" customWidth="1"/>
    <col min="3" max="8" width="16" customWidth="1"/>
    <col min="9" max="10" width="13.5703125" customWidth="1"/>
  </cols>
  <sheetData>
    <row r="1" spans="1:11" ht="20.25" x14ac:dyDescent="0.3">
      <c r="A1" s="1" t="s">
        <v>49</v>
      </c>
      <c r="B1" s="1"/>
    </row>
    <row r="3" spans="1:11" s="2" customFormat="1" ht="25.5" x14ac:dyDescent="0.2">
      <c r="A3" s="2" t="s">
        <v>0</v>
      </c>
      <c r="C3" s="2" t="s">
        <v>23</v>
      </c>
      <c r="E3" s="21" t="s">
        <v>48</v>
      </c>
      <c r="G3"/>
    </row>
    <row r="4" spans="1:11" x14ac:dyDescent="0.2">
      <c r="G4" s="20"/>
    </row>
    <row r="5" spans="1:11" x14ac:dyDescent="0.2">
      <c r="A5" t="s">
        <v>24</v>
      </c>
      <c r="B5" t="s">
        <v>34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J5" t="s">
        <v>43</v>
      </c>
    </row>
    <row r="6" spans="1:11" x14ac:dyDescent="0.2">
      <c r="A6" t="s">
        <v>1</v>
      </c>
      <c r="B6" t="s">
        <v>25</v>
      </c>
      <c r="C6" s="18">
        <v>50000</v>
      </c>
      <c r="D6" s="18">
        <f>C6*(1+$J6)</f>
        <v>51500</v>
      </c>
      <c r="E6" s="18">
        <f>D6*(1+$J6)</f>
        <v>53045</v>
      </c>
      <c r="F6" s="18">
        <f>E6*(1+$J6)</f>
        <v>54636.35</v>
      </c>
      <c r="G6" s="18">
        <f>F6*(1+$J6)</f>
        <v>56275.440499999997</v>
      </c>
      <c r="H6" s="18">
        <f>G6*(1+$J6)</f>
        <v>57963.703714999996</v>
      </c>
      <c r="J6" s="17">
        <v>0.03</v>
      </c>
      <c r="K6" t="s">
        <v>44</v>
      </c>
    </row>
    <row r="7" spans="1:11" x14ac:dyDescent="0.2">
      <c r="A7" s="20" t="s">
        <v>46</v>
      </c>
      <c r="B7" t="s">
        <v>26</v>
      </c>
      <c r="C7" s="18">
        <v>1800</v>
      </c>
      <c r="D7" s="18">
        <f>C7*(1+D8)</f>
        <v>1800</v>
      </c>
      <c r="E7" s="18">
        <f>D7*(1+E8)</f>
        <v>1746</v>
      </c>
      <c r="F7" s="18">
        <f>E7*(1+F8)</f>
        <v>1746</v>
      </c>
      <c r="G7" s="18">
        <f>F7*(1+G8)</f>
        <v>1798.38</v>
      </c>
      <c r="H7" s="18">
        <f>G7*(1+H8)</f>
        <v>1798.38</v>
      </c>
      <c r="J7" s="17"/>
    </row>
    <row r="8" spans="1:11" x14ac:dyDescent="0.2">
      <c r="A8" s="20" t="s">
        <v>45</v>
      </c>
      <c r="B8" t="s">
        <v>26</v>
      </c>
      <c r="C8" s="11">
        <v>0</v>
      </c>
      <c r="D8" s="11">
        <v>0</v>
      </c>
      <c r="E8" s="11">
        <v>-0.03</v>
      </c>
      <c r="F8" s="11">
        <v>0</v>
      </c>
      <c r="G8" s="11">
        <v>0.03</v>
      </c>
      <c r="H8" s="11">
        <v>0</v>
      </c>
    </row>
    <row r="9" spans="1:11" x14ac:dyDescent="0.2">
      <c r="A9" t="s">
        <v>27</v>
      </c>
      <c r="B9" t="s">
        <v>3</v>
      </c>
      <c r="C9" s="4">
        <f t="shared" ref="C9:H9" si="0">C6*1500</f>
        <v>75000000</v>
      </c>
      <c r="D9" s="4">
        <f t="shared" si="0"/>
        <v>77250000</v>
      </c>
      <c r="E9" s="4">
        <f t="shared" si="0"/>
        <v>79567500</v>
      </c>
      <c r="F9" s="4">
        <f t="shared" si="0"/>
        <v>81954525</v>
      </c>
      <c r="G9" s="4">
        <f t="shared" si="0"/>
        <v>84413160.75</v>
      </c>
      <c r="H9" s="4">
        <f t="shared" si="0"/>
        <v>86945555.57249999</v>
      </c>
      <c r="I9" s="3"/>
      <c r="J9" s="3"/>
    </row>
    <row r="10" spans="1:11" x14ac:dyDescent="0.2">
      <c r="C10" s="4"/>
      <c r="D10" s="4"/>
      <c r="E10" s="4"/>
      <c r="F10" s="4"/>
      <c r="G10" s="4"/>
      <c r="H10" s="4"/>
      <c r="I10" s="3"/>
      <c r="J10" s="3"/>
    </row>
    <row r="11" spans="1:11" x14ac:dyDescent="0.2">
      <c r="A11" t="s">
        <v>31</v>
      </c>
      <c r="B11" t="s">
        <v>4</v>
      </c>
      <c r="C11" s="17">
        <v>0</v>
      </c>
      <c r="D11" s="17">
        <v>0.01</v>
      </c>
      <c r="E11" s="17">
        <v>0.03</v>
      </c>
      <c r="F11" s="17">
        <v>0.06</v>
      </c>
      <c r="G11" s="17">
        <v>0.12</v>
      </c>
      <c r="H11" s="17">
        <v>0.15</v>
      </c>
    </row>
    <row r="12" spans="1:11" x14ac:dyDescent="0.2">
      <c r="A12" t="s">
        <v>28</v>
      </c>
      <c r="B12" t="s">
        <v>5</v>
      </c>
      <c r="C12">
        <f t="shared" ref="C12:H12" si="1">C11*C6</f>
        <v>0</v>
      </c>
      <c r="D12" s="18">
        <f t="shared" si="1"/>
        <v>515</v>
      </c>
      <c r="E12" s="18">
        <f t="shared" si="1"/>
        <v>1591.35</v>
      </c>
      <c r="F12" s="18">
        <f t="shared" si="1"/>
        <v>3278.1809999999996</v>
      </c>
      <c r="G12" s="18">
        <f t="shared" si="1"/>
        <v>6753.0528599999998</v>
      </c>
      <c r="H12" s="18">
        <f t="shared" si="1"/>
        <v>8694.5555572499998</v>
      </c>
    </row>
    <row r="13" spans="1:11" x14ac:dyDescent="0.2">
      <c r="D13" s="5"/>
      <c r="E13" s="5"/>
      <c r="F13" s="5"/>
      <c r="G13" s="5"/>
      <c r="H13" s="5"/>
    </row>
    <row r="14" spans="1:11" x14ac:dyDescent="0.2">
      <c r="A14" t="s">
        <v>6</v>
      </c>
      <c r="B14" t="s">
        <v>3</v>
      </c>
      <c r="C14" s="4">
        <v>1490</v>
      </c>
      <c r="D14" s="4">
        <f>C14*(1+D8)</f>
        <v>1490</v>
      </c>
      <c r="E14" s="4">
        <f>D14*(1+E8)</f>
        <v>1445.3</v>
      </c>
      <c r="F14" s="4">
        <f>E14*(1+F8)</f>
        <v>1445.3</v>
      </c>
      <c r="G14" s="4">
        <f>F14*(1+G8)</f>
        <v>1488.6589999999999</v>
      </c>
      <c r="H14" s="4">
        <f>G14*(1+H8)</f>
        <v>1488.6589999999999</v>
      </c>
    </row>
    <row r="15" spans="1:11" x14ac:dyDescent="0.2">
      <c r="A15" t="s">
        <v>29</v>
      </c>
      <c r="B15" t="s">
        <v>3</v>
      </c>
      <c r="C15" s="4">
        <v>500</v>
      </c>
      <c r="D15" s="4">
        <v>500</v>
      </c>
      <c r="E15" s="4">
        <v>520</v>
      </c>
      <c r="F15" s="4">
        <v>520</v>
      </c>
      <c r="G15" s="4">
        <v>550</v>
      </c>
      <c r="H15" s="4">
        <v>550</v>
      </c>
    </row>
    <row r="16" spans="1:11" x14ac:dyDescent="0.2">
      <c r="A16" t="s">
        <v>30</v>
      </c>
      <c r="B16" t="s">
        <v>3</v>
      </c>
      <c r="C16" s="4">
        <f t="shared" ref="C16:H16" si="2">C14-C15</f>
        <v>990</v>
      </c>
      <c r="D16" s="4">
        <f t="shared" si="2"/>
        <v>990</v>
      </c>
      <c r="E16" s="4">
        <f t="shared" si="2"/>
        <v>925.3</v>
      </c>
      <c r="F16" s="4">
        <f t="shared" si="2"/>
        <v>925.3</v>
      </c>
      <c r="G16" s="4">
        <f t="shared" si="2"/>
        <v>938.65899999999988</v>
      </c>
      <c r="H16" s="4">
        <f t="shared" si="2"/>
        <v>938.65899999999988</v>
      </c>
    </row>
    <row r="17" spans="1:8" x14ac:dyDescent="0.2">
      <c r="C17" s="4"/>
      <c r="D17" s="4"/>
      <c r="E17" s="4"/>
      <c r="F17" s="4"/>
      <c r="G17" s="4"/>
      <c r="H17" s="4"/>
    </row>
    <row r="18" spans="1:8" x14ac:dyDescent="0.2">
      <c r="A18" t="s">
        <v>7</v>
      </c>
      <c r="B18" t="s">
        <v>3</v>
      </c>
      <c r="C18" s="4">
        <f t="shared" ref="C18:H18" si="3">C14*C12</f>
        <v>0</v>
      </c>
      <c r="D18" s="4">
        <f t="shared" si="3"/>
        <v>767350</v>
      </c>
      <c r="E18" s="4">
        <f t="shared" si="3"/>
        <v>2299978.1549999998</v>
      </c>
      <c r="F18" s="4">
        <f t="shared" si="3"/>
        <v>4737954.9992999993</v>
      </c>
      <c r="G18" s="4">
        <f t="shared" si="3"/>
        <v>10052992.91751474</v>
      </c>
      <c r="H18" s="4">
        <f t="shared" si="3"/>
        <v>12943228.381300226</v>
      </c>
    </row>
    <row r="19" spans="1:8" x14ac:dyDescent="0.2">
      <c r="A19" t="s">
        <v>8</v>
      </c>
      <c r="B19" t="s">
        <v>3</v>
      </c>
      <c r="C19" s="4">
        <f t="shared" ref="C19:H19" si="4">(C14-C15)*C12</f>
        <v>0</v>
      </c>
      <c r="D19" s="4">
        <f t="shared" si="4"/>
        <v>509850</v>
      </c>
      <c r="E19" s="4">
        <f t="shared" si="4"/>
        <v>1472476.1549999998</v>
      </c>
      <c r="F19" s="4">
        <f t="shared" si="4"/>
        <v>3033300.8792999997</v>
      </c>
      <c r="G19" s="4">
        <f t="shared" si="4"/>
        <v>6338813.8445147388</v>
      </c>
      <c r="H19" s="4">
        <f t="shared" si="4"/>
        <v>8161222.8248127261</v>
      </c>
    </row>
    <row r="20" spans="1:8" x14ac:dyDescent="0.2">
      <c r="A20" s="20" t="s">
        <v>47</v>
      </c>
      <c r="B20" t="s">
        <v>3</v>
      </c>
      <c r="C20" s="4">
        <f t="shared" ref="C20:H20" si="5">C32</f>
        <v>220000</v>
      </c>
      <c r="D20" s="4">
        <f t="shared" si="5"/>
        <v>220000</v>
      </c>
      <c r="E20" s="4">
        <f t="shared" si="5"/>
        <v>220000</v>
      </c>
      <c r="F20" s="4">
        <f t="shared" si="5"/>
        <v>220000</v>
      </c>
      <c r="G20" s="4">
        <f t="shared" si="5"/>
        <v>440000</v>
      </c>
      <c r="H20" s="4">
        <f t="shared" si="5"/>
        <v>440000</v>
      </c>
    </row>
    <row r="21" spans="1:8" x14ac:dyDescent="0.2">
      <c r="A21" t="s">
        <v>32</v>
      </c>
      <c r="B21" t="s">
        <v>9</v>
      </c>
      <c r="C21" s="19">
        <v>2</v>
      </c>
      <c r="D21" s="19">
        <v>2</v>
      </c>
      <c r="E21" s="19">
        <v>3</v>
      </c>
      <c r="F21" s="19">
        <f>(F18-2000000)/1500000+2</f>
        <v>3.8253033328666661</v>
      </c>
      <c r="G21" s="19">
        <v>6</v>
      </c>
      <c r="H21" s="19">
        <v>8</v>
      </c>
    </row>
    <row r="22" spans="1:8" x14ac:dyDescent="0.2">
      <c r="A22" t="s">
        <v>33</v>
      </c>
      <c r="B22" t="s">
        <v>3</v>
      </c>
      <c r="C22" s="4">
        <f t="shared" ref="C22:H22" si="6">100000*C21</f>
        <v>200000</v>
      </c>
      <c r="D22" s="4">
        <f t="shared" si="6"/>
        <v>200000</v>
      </c>
      <c r="E22" s="22">
        <f>100000*E21+200000</f>
        <v>500000</v>
      </c>
      <c r="F22" s="4">
        <f t="shared" si="6"/>
        <v>382530.3332866666</v>
      </c>
      <c r="G22" s="4">
        <f t="shared" si="6"/>
        <v>600000</v>
      </c>
      <c r="H22" s="4">
        <f t="shared" si="6"/>
        <v>800000</v>
      </c>
    </row>
    <row r="23" spans="1:8" x14ac:dyDescent="0.2">
      <c r="A23" t="s">
        <v>11</v>
      </c>
      <c r="B23" t="s">
        <v>3</v>
      </c>
      <c r="C23" s="4">
        <v>100000</v>
      </c>
      <c r="D23" s="4">
        <v>100000</v>
      </c>
      <c r="E23" s="4">
        <v>100000</v>
      </c>
      <c r="F23" s="4">
        <v>100000</v>
      </c>
      <c r="G23" s="4">
        <v>100000</v>
      </c>
      <c r="H23" s="4">
        <v>100000</v>
      </c>
    </row>
    <row r="24" spans="1:8" x14ac:dyDescent="0.2">
      <c r="A24" t="s">
        <v>14</v>
      </c>
      <c r="B24" t="s">
        <v>3</v>
      </c>
      <c r="C24" s="4">
        <v>350000</v>
      </c>
      <c r="D24" s="4">
        <v>150000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">
      <c r="A25" t="s">
        <v>10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>0.08*H18</f>
        <v>1035458.2705040181</v>
      </c>
    </row>
    <row r="26" spans="1:8" ht="7.5" customHeight="1" thickBot="1" x14ac:dyDescent="0.25">
      <c r="A26" s="6"/>
      <c r="B26" s="6"/>
      <c r="C26" s="6"/>
      <c r="D26" s="6"/>
      <c r="E26" s="6"/>
      <c r="F26" s="6"/>
      <c r="G26" s="6"/>
      <c r="H26" s="6"/>
    </row>
    <row r="27" spans="1:8" s="2" customFormat="1" ht="16.5" customHeight="1" x14ac:dyDescent="0.2">
      <c r="A27" s="8" t="s">
        <v>12</v>
      </c>
      <c r="C27" s="9">
        <f t="shared" ref="C27:H27" si="7">C19-C20-C22-C23-C25-C24</f>
        <v>-870000</v>
      </c>
      <c r="D27" s="9">
        <f t="shared" si="7"/>
        <v>-160150</v>
      </c>
      <c r="E27" s="9">
        <f>E19-E20-E22-E23-E25-E24</f>
        <v>652476.1549999998</v>
      </c>
      <c r="F27" s="9">
        <f t="shared" si="7"/>
        <v>2330770.5460133329</v>
      </c>
      <c r="G27" s="9">
        <f t="shared" si="7"/>
        <v>5198813.8445147388</v>
      </c>
      <c r="H27" s="9">
        <f t="shared" si="7"/>
        <v>5785764.5543087078</v>
      </c>
    </row>
    <row r="28" spans="1:8" s="2" customFormat="1" x14ac:dyDescent="0.2">
      <c r="A28" s="8" t="s">
        <v>13</v>
      </c>
      <c r="C28" s="10"/>
      <c r="D28" s="10">
        <f>D27/D18</f>
        <v>-0.20870528442040789</v>
      </c>
      <c r="E28" s="10">
        <f>E27/E18</f>
        <v>0.28368797920169803</v>
      </c>
      <c r="F28" s="10">
        <f>F27/F18</f>
        <v>0.49193598216059214</v>
      </c>
      <c r="G28" s="10">
        <f>G27/G18</f>
        <v>0.5171409039249546</v>
      </c>
      <c r="H28" s="10">
        <f>H27/H18</f>
        <v>0.4470109298749384</v>
      </c>
    </row>
    <row r="30" spans="1:8" x14ac:dyDescent="0.2">
      <c r="A30" s="2" t="s">
        <v>19</v>
      </c>
    </row>
    <row r="31" spans="1:8" x14ac:dyDescent="0.2">
      <c r="A31" t="s">
        <v>16</v>
      </c>
      <c r="B31" t="s">
        <v>2</v>
      </c>
      <c r="C31">
        <v>1</v>
      </c>
      <c r="D31">
        <v>1</v>
      </c>
      <c r="E31">
        <v>1</v>
      </c>
      <c r="F31">
        <v>1</v>
      </c>
      <c r="G31">
        <v>2</v>
      </c>
      <c r="H31">
        <v>2</v>
      </c>
    </row>
    <row r="32" spans="1:8" x14ac:dyDescent="0.2">
      <c r="A32" t="s">
        <v>17</v>
      </c>
      <c r="B32" t="s">
        <v>3</v>
      </c>
      <c r="C32" s="4">
        <f t="shared" ref="C32:H32" si="8">220000*C31</f>
        <v>220000</v>
      </c>
      <c r="D32" s="4">
        <f t="shared" si="8"/>
        <v>220000</v>
      </c>
      <c r="E32" s="4">
        <f t="shared" si="8"/>
        <v>220000</v>
      </c>
      <c r="F32" s="4">
        <f t="shared" si="8"/>
        <v>220000</v>
      </c>
      <c r="G32" s="4">
        <f t="shared" si="8"/>
        <v>440000</v>
      </c>
      <c r="H32" s="4">
        <f t="shared" si="8"/>
        <v>440000</v>
      </c>
    </row>
    <row r="33" spans="1:8" x14ac:dyDescent="0.2">
      <c r="A33" t="s">
        <v>15</v>
      </c>
      <c r="B33" t="s">
        <v>3</v>
      </c>
      <c r="C33" s="4">
        <f>-2200000</f>
        <v>-2200000</v>
      </c>
      <c r="D33" s="4"/>
      <c r="E33" s="4"/>
      <c r="F33" s="4"/>
      <c r="G33" s="4">
        <f>-2200000</f>
        <v>-2200000</v>
      </c>
      <c r="H33" s="4"/>
    </row>
    <row r="34" spans="1:8" x14ac:dyDescent="0.2">
      <c r="A34" s="2" t="s">
        <v>41</v>
      </c>
    </row>
    <row r="35" spans="1:8" s="13" customFormat="1" ht="11.25" x14ac:dyDescent="0.2">
      <c r="A35" s="13" t="s">
        <v>18</v>
      </c>
      <c r="B35" s="13" t="s">
        <v>3</v>
      </c>
      <c r="C35" s="15">
        <f t="shared" ref="C35:H35" si="9">C18/12</f>
        <v>0</v>
      </c>
      <c r="D35" s="15">
        <f>D18/12</f>
        <v>63945.833333333336</v>
      </c>
      <c r="E35" s="15">
        <f t="shared" si="9"/>
        <v>191664.84624999997</v>
      </c>
      <c r="F35" s="15">
        <f t="shared" si="9"/>
        <v>394829.58327499992</v>
      </c>
      <c r="G35" s="15">
        <f t="shared" si="9"/>
        <v>837749.40979289496</v>
      </c>
      <c r="H35" s="15">
        <f t="shared" si="9"/>
        <v>1078602.3651083522</v>
      </c>
    </row>
    <row r="36" spans="1:8" s="13" customFormat="1" ht="11.25" x14ac:dyDescent="0.2">
      <c r="A36" s="13" t="s">
        <v>21</v>
      </c>
      <c r="B36" s="13" t="s">
        <v>3</v>
      </c>
      <c r="C36" s="15">
        <v>0</v>
      </c>
      <c r="D36" s="15">
        <f>C35-D35</f>
        <v>-63945.833333333336</v>
      </c>
      <c r="E36" s="15">
        <f>D35-E35</f>
        <v>-127719.01291666663</v>
      </c>
      <c r="F36" s="15">
        <f>E35-F35</f>
        <v>-203164.73702499995</v>
      </c>
      <c r="G36" s="15">
        <f>F35-G35</f>
        <v>-442919.82651789504</v>
      </c>
      <c r="H36" s="15">
        <f>G35-H35</f>
        <v>-240852.95531545719</v>
      </c>
    </row>
    <row r="37" spans="1:8" s="13" customFormat="1" ht="11.25" x14ac:dyDescent="0.2">
      <c r="A37" s="13" t="s">
        <v>20</v>
      </c>
      <c r="B37" s="13" t="s">
        <v>3</v>
      </c>
      <c r="C37" s="15">
        <f t="shared" ref="C37:H37" si="10">50000+0.1*C18</f>
        <v>50000</v>
      </c>
      <c r="D37" s="15">
        <f t="shared" si="10"/>
        <v>126735</v>
      </c>
      <c r="E37" s="15">
        <f t="shared" si="10"/>
        <v>279997.81550000003</v>
      </c>
      <c r="F37" s="15">
        <f t="shared" si="10"/>
        <v>523795.49992999993</v>
      </c>
      <c r="G37" s="15">
        <f t="shared" si="10"/>
        <v>1055299.2917514741</v>
      </c>
      <c r="H37" s="15">
        <f t="shared" si="10"/>
        <v>1344322.8381300226</v>
      </c>
    </row>
    <row r="38" spans="1:8" s="13" customFormat="1" ht="11.25" x14ac:dyDescent="0.2">
      <c r="A38" s="13" t="s">
        <v>22</v>
      </c>
      <c r="B38" s="13" t="s">
        <v>3</v>
      </c>
      <c r="C38" s="15">
        <f>-C37</f>
        <v>-50000</v>
      </c>
      <c r="D38" s="15">
        <f>C37-D37</f>
        <v>-76735</v>
      </c>
      <c r="E38" s="15">
        <f>D37-E37</f>
        <v>-153262.81550000003</v>
      </c>
      <c r="F38" s="15">
        <f>E37-F37</f>
        <v>-243797.68442999991</v>
      </c>
      <c r="G38" s="15">
        <f>F37-G37</f>
        <v>-531503.79182147421</v>
      </c>
      <c r="H38" s="15">
        <f>G37-H37</f>
        <v>-289023.54637854849</v>
      </c>
    </row>
    <row r="39" spans="1:8" s="13" customFormat="1" ht="11.25" x14ac:dyDescent="0.2">
      <c r="A39" s="13" t="s">
        <v>39</v>
      </c>
      <c r="C39" s="15">
        <f t="shared" ref="C39:H39" si="11">C15*0.5*C12/12</f>
        <v>0</v>
      </c>
      <c r="D39" s="15">
        <f t="shared" si="11"/>
        <v>10729.166666666666</v>
      </c>
      <c r="E39" s="15">
        <f t="shared" si="11"/>
        <v>34479.25</v>
      </c>
      <c r="F39" s="15">
        <f t="shared" si="11"/>
        <v>71027.25499999999</v>
      </c>
      <c r="G39" s="15">
        <f t="shared" si="11"/>
        <v>154757.46137499998</v>
      </c>
      <c r="H39" s="15">
        <f t="shared" si="11"/>
        <v>199250.23152031249</v>
      </c>
    </row>
    <row r="40" spans="1:8" s="13" customFormat="1" ht="12" thickBot="1" x14ac:dyDescent="0.25">
      <c r="A40" s="14" t="s">
        <v>40</v>
      </c>
      <c r="B40" s="14"/>
      <c r="C40" s="16">
        <f t="shared" ref="C40:H40" si="12">C39-B39</f>
        <v>0</v>
      </c>
      <c r="D40" s="16">
        <f t="shared" si="12"/>
        <v>10729.166666666666</v>
      </c>
      <c r="E40" s="16">
        <f t="shared" si="12"/>
        <v>23750.083333333336</v>
      </c>
      <c r="F40" s="16">
        <f t="shared" si="12"/>
        <v>36548.00499999999</v>
      </c>
      <c r="G40" s="16">
        <f t="shared" si="12"/>
        <v>83730.206374999994</v>
      </c>
      <c r="H40" s="16">
        <f t="shared" si="12"/>
        <v>44492.770145312505</v>
      </c>
    </row>
    <row r="41" spans="1:8" ht="16.5" customHeight="1" x14ac:dyDescent="0.2">
      <c r="A41" s="7" t="s">
        <v>36</v>
      </c>
      <c r="C41" s="4">
        <f t="shared" ref="C41:H41" si="13">C27+C32+C33+C36+C38+C40</f>
        <v>-2900000</v>
      </c>
      <c r="D41" s="4">
        <f t="shared" si="13"/>
        <v>-70101.666666666672</v>
      </c>
      <c r="E41" s="4">
        <f t="shared" si="13"/>
        <v>615244.40991666645</v>
      </c>
      <c r="F41" s="4">
        <f t="shared" si="13"/>
        <v>2140356.1295583327</v>
      </c>
      <c r="G41" s="4">
        <f t="shared" si="13"/>
        <v>2548120.4325503698</v>
      </c>
      <c r="H41" s="4">
        <f t="shared" si="13"/>
        <v>5740380.8227600157</v>
      </c>
    </row>
    <row r="42" spans="1:8" x14ac:dyDescent="0.2">
      <c r="A42" s="7" t="s">
        <v>35</v>
      </c>
      <c r="B42" s="11">
        <v>0.15</v>
      </c>
      <c r="C42" s="12">
        <f t="shared" ref="C42:H42" si="14">1/(1+$B42)^C5</f>
        <v>0.86956521739130443</v>
      </c>
      <c r="D42" s="12">
        <f t="shared" si="14"/>
        <v>0.7561436672967865</v>
      </c>
      <c r="E42" s="12">
        <f t="shared" si="14"/>
        <v>0.65751623243198831</v>
      </c>
      <c r="F42" s="12">
        <f t="shared" si="14"/>
        <v>0.57175324559303342</v>
      </c>
      <c r="G42" s="12">
        <f t="shared" si="14"/>
        <v>0.49717673529828987</v>
      </c>
      <c r="H42" s="12">
        <f t="shared" si="14"/>
        <v>0.43232759591155645</v>
      </c>
    </row>
    <row r="43" spans="1:8" x14ac:dyDescent="0.2">
      <c r="A43" s="7" t="s">
        <v>42</v>
      </c>
      <c r="C43" s="4">
        <f t="shared" ref="C43:H43" si="15">C41*C42</f>
        <v>-2521739.1304347827</v>
      </c>
      <c r="D43" s="4">
        <f t="shared" si="15"/>
        <v>-53006.931316950235</v>
      </c>
      <c r="E43" s="4">
        <f t="shared" si="15"/>
        <v>404533.18643324834</v>
      </c>
      <c r="F43" s="4">
        <f t="shared" si="15"/>
        <v>1223755.5637999198</v>
      </c>
      <c r="G43" s="4">
        <f t="shared" si="15"/>
        <v>1266866.1978022591</v>
      </c>
      <c r="H43" s="4">
        <f t="shared" si="15"/>
        <v>2481725.0407206402</v>
      </c>
    </row>
    <row r="44" spans="1:8" x14ac:dyDescent="0.2">
      <c r="A44" s="7" t="s">
        <v>38</v>
      </c>
      <c r="C44" s="4">
        <f>C43</f>
        <v>-2521739.1304347827</v>
      </c>
      <c r="D44" s="4">
        <f>C44+D43</f>
        <v>-2574746.0617517331</v>
      </c>
      <c r="E44" s="4">
        <f>D44+E43</f>
        <v>-2170212.8753184848</v>
      </c>
      <c r="F44" s="4">
        <f>E44+F43</f>
        <v>-946457.31151856505</v>
      </c>
      <c r="G44" s="4">
        <f>F44+G43</f>
        <v>320408.88628369407</v>
      </c>
      <c r="H44" s="4">
        <f>G44+H43</f>
        <v>2802133.9270043345</v>
      </c>
    </row>
    <row r="45" spans="1:8" x14ac:dyDescent="0.2">
      <c r="A45" s="7" t="s">
        <v>37</v>
      </c>
      <c r="C45" s="4">
        <f>SUM(C43:H43)</f>
        <v>2802133.9270043345</v>
      </c>
    </row>
    <row r="46" spans="1:8" x14ac:dyDescent="0.2">
      <c r="A46" s="7"/>
    </row>
  </sheetData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2</vt:i4>
      </vt:variant>
    </vt:vector>
  </HeadingPairs>
  <TitlesOfParts>
    <vt:vector size="5" baseType="lpstr">
      <vt:lpstr>Szenario 1</vt:lpstr>
      <vt:lpstr>Szenario 2</vt:lpstr>
      <vt:lpstr>Tabelle3</vt:lpstr>
      <vt:lpstr>Diagramm 1</vt:lpstr>
      <vt:lpstr>Diagramm 2</vt:lpstr>
    </vt:vector>
  </TitlesOfParts>
  <Manager>CA akademie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AKADEMIE AG</dc:creator>
  <dcterms:created xsi:type="dcterms:W3CDTF">2007-05-30T13:12:05Z</dcterms:created>
  <dcterms:modified xsi:type="dcterms:W3CDTF">2020-04-03T13:33:32Z</dcterms:modified>
</cp:coreProperties>
</file>