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Caso\Documents\wp-content_uploads_2016_08\"/>
    </mc:Choice>
  </mc:AlternateContent>
  <bookViews>
    <workbookView xWindow="0" yWindow="0" windowWidth="14085" windowHeight="13005"/>
  </bookViews>
  <sheets>
    <sheet name="Kennzahlendarstellung" sheetId="23" r:id="rId1"/>
    <sheet name="Finanzbericht 2011" sheetId="13" r:id="rId2"/>
    <sheet name="Finanzbericht 2010" sheetId="14" r:id="rId3"/>
    <sheet name="Finanzbericht 2009" sheetId="15" r:id="rId4"/>
    <sheet name="Finanzbericht 2008" sheetId="16" r:id="rId5"/>
    <sheet name="Finanzbericht 2007" sheetId="17" r:id="rId6"/>
    <sheet name="Finanzbericht 2006" sheetId="18" r:id="rId7"/>
    <sheet name="Finanzbericht 2005" sheetId="19" r:id="rId8"/>
    <sheet name="Finanzbericht 2004" sheetId="20" r:id="rId9"/>
    <sheet name="Finanzbericht 2003" sheetId="21" r:id="rId10"/>
    <sheet name="Finanzbericht 2002" sheetId="22" r:id="rId11"/>
    <sheet name="Tabelle1" sheetId="24" r:id="rId12"/>
  </sheets>
  <definedNames>
    <definedName name="_xlnm.Print_Area" localSheetId="10">'Finanzbericht 2002'!$A$1:$K$78</definedName>
    <definedName name="_xlnm.Print_Area" localSheetId="9">'Finanzbericht 2003'!$A$1:$K$78</definedName>
    <definedName name="_xlnm.Print_Area" localSheetId="8">'Finanzbericht 2004'!$A$1:$K$78</definedName>
    <definedName name="_xlnm.Print_Area" localSheetId="7">'Finanzbericht 2005'!$A$1:$K$78</definedName>
    <definedName name="_xlnm.Print_Area" localSheetId="6">'Finanzbericht 2006'!$A$1:$K$78</definedName>
    <definedName name="_xlnm.Print_Area" localSheetId="5">'Finanzbericht 2007'!$A$1:$K$78</definedName>
    <definedName name="_xlnm.Print_Area" localSheetId="4">'Finanzbericht 2008'!$A$1:$K$78</definedName>
    <definedName name="_xlnm.Print_Area" localSheetId="3">'Finanzbericht 2009'!$A$1:$K$78</definedName>
    <definedName name="_xlnm.Print_Area" localSheetId="2">'Finanzbericht 2010'!$A$1:$K$78</definedName>
    <definedName name="_xlnm.Print_Area" localSheetId="1">'Finanzbericht 2011'!$A$1:$K$78</definedName>
  </definedNames>
  <calcPr calcId="162913"/>
</workbook>
</file>

<file path=xl/calcChain.xml><?xml version="1.0" encoding="utf-8"?>
<calcChain xmlns="http://schemas.openxmlformats.org/spreadsheetml/2006/main">
  <c r="D68" i="13" l="1"/>
  <c r="D63" i="13"/>
  <c r="A32" i="13" s="1"/>
  <c r="D64" i="13"/>
  <c r="F33" i="13"/>
  <c r="D72" i="13"/>
  <c r="F34" i="13" s="1"/>
  <c r="D68" i="14"/>
  <c r="F28" i="14" s="1"/>
  <c r="D64" i="14"/>
  <c r="F33" i="14"/>
  <c r="C10" i="14" s="1"/>
  <c r="D72" i="14"/>
  <c r="D64" i="15"/>
  <c r="F33" i="15"/>
  <c r="D72" i="15"/>
  <c r="D63" i="16"/>
  <c r="D64" i="16"/>
  <c r="F33" i="16"/>
  <c r="D72" i="16"/>
  <c r="F34" i="16" s="1"/>
  <c r="D64" i="17"/>
  <c r="F33" i="17"/>
  <c r="D13" i="17" s="1"/>
  <c r="D72" i="17"/>
  <c r="D64" i="18"/>
  <c r="F33" i="18"/>
  <c r="D72" i="18"/>
  <c r="D73" i="18"/>
  <c r="D64" i="19"/>
  <c r="F33" i="19" s="1"/>
  <c r="D72" i="19"/>
  <c r="D73" i="19"/>
  <c r="D64" i="20"/>
  <c r="F33" i="20" s="1"/>
  <c r="D72" i="20"/>
  <c r="A34" i="20" s="1"/>
  <c r="D68" i="21"/>
  <c r="D64" i="21"/>
  <c r="F33" i="21" s="1"/>
  <c r="D72" i="21"/>
  <c r="D73" i="21"/>
  <c r="D61" i="13"/>
  <c r="F40" i="13"/>
  <c r="C8" i="13" s="1"/>
  <c r="D69" i="13"/>
  <c r="F43" i="13" s="1"/>
  <c r="I9" i="23"/>
  <c r="H9" i="23"/>
  <c r="G9" i="23"/>
  <c r="F9" i="23"/>
  <c r="E9" i="23"/>
  <c r="D9" i="23"/>
  <c r="C9" i="23"/>
  <c r="C10" i="23"/>
  <c r="H7" i="23"/>
  <c r="K38" i="22"/>
  <c r="C7" i="23" s="1"/>
  <c r="J62" i="21"/>
  <c r="J77" i="22"/>
  <c r="E71" i="22"/>
  <c r="E75" i="22" s="1"/>
  <c r="E74" i="22"/>
  <c r="D74" i="21" s="1"/>
  <c r="F44" i="21" s="1"/>
  <c r="D74" i="22"/>
  <c r="D71" i="22" s="1"/>
  <c r="D63" i="22"/>
  <c r="D65" i="22" s="1"/>
  <c r="D66" i="22" s="1"/>
  <c r="E63" i="22"/>
  <c r="D63" i="21" s="1"/>
  <c r="F32" i="21" s="1"/>
  <c r="K68" i="22"/>
  <c r="J68" i="22"/>
  <c r="D69" i="21"/>
  <c r="D67" i="21"/>
  <c r="D62" i="21"/>
  <c r="D61" i="21"/>
  <c r="F27" i="22"/>
  <c r="F9" i="22" s="1"/>
  <c r="F26" i="22"/>
  <c r="F28" i="22"/>
  <c r="F30" i="22"/>
  <c r="K77" i="22"/>
  <c r="J77" i="21" s="1"/>
  <c r="I20" i="21" s="1"/>
  <c r="J74" i="21"/>
  <c r="J71" i="21"/>
  <c r="I38" i="21" s="1"/>
  <c r="J68" i="21"/>
  <c r="J65" i="21"/>
  <c r="E70" i="22"/>
  <c r="D70" i="22"/>
  <c r="I56" i="22" s="1"/>
  <c r="K60" i="22"/>
  <c r="J60" i="22"/>
  <c r="K56" i="22"/>
  <c r="K55" i="22"/>
  <c r="I55" i="22"/>
  <c r="F55" i="22"/>
  <c r="D55" i="22"/>
  <c r="C55" i="22"/>
  <c r="A55" i="22"/>
  <c r="F33" i="22"/>
  <c r="C10" i="22" s="1"/>
  <c r="F34" i="22"/>
  <c r="F36" i="22"/>
  <c r="A13" i="22" s="1"/>
  <c r="F40" i="22"/>
  <c r="F43" i="22"/>
  <c r="K46" i="22"/>
  <c r="I46" i="22"/>
  <c r="A44" i="22"/>
  <c r="A43" i="22"/>
  <c r="I38" i="22"/>
  <c r="K37" i="22"/>
  <c r="I37" i="22"/>
  <c r="A36" i="22"/>
  <c r="A34" i="22"/>
  <c r="A33" i="22"/>
  <c r="K29" i="22"/>
  <c r="I29" i="22"/>
  <c r="K28" i="22"/>
  <c r="I28" i="22"/>
  <c r="F24" i="22"/>
  <c r="I20" i="22"/>
  <c r="F8" i="22"/>
  <c r="F10" i="22"/>
  <c r="F13" i="22"/>
  <c r="F14" i="22"/>
  <c r="F16" i="22"/>
  <c r="F18" i="22"/>
  <c r="C8" i="22"/>
  <c r="C11" i="22"/>
  <c r="C15" i="22"/>
  <c r="K19" i="22"/>
  <c r="I19" i="22"/>
  <c r="D18" i="22"/>
  <c r="A15" i="22"/>
  <c r="D14" i="22"/>
  <c r="D13" i="22"/>
  <c r="A11" i="22"/>
  <c r="K10" i="22"/>
  <c r="I10" i="22"/>
  <c r="A10" i="22"/>
  <c r="E73" i="21"/>
  <c r="D73" i="20" s="1"/>
  <c r="E74" i="21"/>
  <c r="E71" i="21"/>
  <c r="D71" i="20" s="1"/>
  <c r="E68" i="21"/>
  <c r="D68" i="20" s="1"/>
  <c r="F28" i="20" s="1"/>
  <c r="E63" i="21"/>
  <c r="D63" i="20" s="1"/>
  <c r="D65" i="20" s="1"/>
  <c r="D66" i="20" s="1"/>
  <c r="K68" i="21"/>
  <c r="D74" i="20"/>
  <c r="D69" i="20"/>
  <c r="D67" i="20"/>
  <c r="D62" i="20"/>
  <c r="D61" i="20"/>
  <c r="F40" i="20" s="1"/>
  <c r="C8" i="20" s="1"/>
  <c r="F27" i="21"/>
  <c r="F26" i="21"/>
  <c r="J74" i="20"/>
  <c r="J71" i="20"/>
  <c r="I38" i="20" s="1"/>
  <c r="J68" i="20"/>
  <c r="J65" i="20"/>
  <c r="J62" i="20"/>
  <c r="E75" i="21"/>
  <c r="F56" i="21" s="1"/>
  <c r="D11" i="23" s="1"/>
  <c r="E70" i="21"/>
  <c r="K56" i="21" s="1"/>
  <c r="D10" i="23" s="1"/>
  <c r="E65" i="21"/>
  <c r="D12" i="23" s="1"/>
  <c r="E66" i="21"/>
  <c r="D70" i="21"/>
  <c r="K60" i="21"/>
  <c r="J60" i="21"/>
  <c r="K55" i="21"/>
  <c r="I55" i="21"/>
  <c r="F55" i="21"/>
  <c r="D55" i="21"/>
  <c r="C55" i="21"/>
  <c r="A55" i="21"/>
  <c r="F40" i="21"/>
  <c r="F43" i="21"/>
  <c r="F18" i="21" s="1"/>
  <c r="K46" i="21"/>
  <c r="I46" i="21"/>
  <c r="A43" i="21"/>
  <c r="K38" i="21"/>
  <c r="D7" i="23" s="1"/>
  <c r="K37" i="21"/>
  <c r="K19" i="21" s="1"/>
  <c r="K10" i="21" s="1"/>
  <c r="I37" i="21"/>
  <c r="I19" i="21" s="1"/>
  <c r="I10" i="21" s="1"/>
  <c r="A34" i="21"/>
  <c r="A33" i="21"/>
  <c r="K29" i="21"/>
  <c r="I29" i="21"/>
  <c r="K28" i="21"/>
  <c r="F24" i="21"/>
  <c r="F8" i="21"/>
  <c r="F9" i="21"/>
  <c r="C8" i="21"/>
  <c r="C15" i="21"/>
  <c r="E74" i="20"/>
  <c r="D74" i="19" s="1"/>
  <c r="F44" i="19" s="1"/>
  <c r="E68" i="20"/>
  <c r="D68" i="19" s="1"/>
  <c r="E63" i="20"/>
  <c r="D63" i="19" s="1"/>
  <c r="F32" i="19" s="1"/>
  <c r="C9" i="19" s="1"/>
  <c r="K68" i="20"/>
  <c r="D69" i="19"/>
  <c r="D67" i="19"/>
  <c r="D62" i="19"/>
  <c r="D61" i="19"/>
  <c r="F27" i="20"/>
  <c r="F26" i="20"/>
  <c r="J74" i="19"/>
  <c r="J71" i="19"/>
  <c r="J68" i="19"/>
  <c r="J65" i="19"/>
  <c r="J62" i="19"/>
  <c r="K60" i="20"/>
  <c r="J60" i="20"/>
  <c r="K55" i="20"/>
  <c r="I55" i="20"/>
  <c r="F55" i="20"/>
  <c r="D55" i="20"/>
  <c r="C55" i="20"/>
  <c r="A55" i="20"/>
  <c r="K46" i="20"/>
  <c r="K28" i="20" s="1"/>
  <c r="I46" i="20"/>
  <c r="K38" i="20"/>
  <c r="E7" i="23" s="1"/>
  <c r="K37" i="20"/>
  <c r="K19" i="20" s="1"/>
  <c r="K10" i="20" s="1"/>
  <c r="I37" i="20"/>
  <c r="K29" i="20"/>
  <c r="I29" i="20"/>
  <c r="I28" i="20"/>
  <c r="F24" i="20"/>
  <c r="F8" i="20"/>
  <c r="F9" i="20"/>
  <c r="I19" i="20"/>
  <c r="I10" i="20"/>
  <c r="E71" i="19"/>
  <c r="E75" i="19" s="1"/>
  <c r="E74" i="19"/>
  <c r="D74" i="18"/>
  <c r="D69" i="18"/>
  <c r="F43" i="18" s="1"/>
  <c r="D67" i="18"/>
  <c r="D62" i="18"/>
  <c r="D61" i="18"/>
  <c r="E73" i="19"/>
  <c r="E68" i="19"/>
  <c r="A43" i="19" s="1"/>
  <c r="E63" i="19"/>
  <c r="D63" i="18" s="1"/>
  <c r="F32" i="18" s="1"/>
  <c r="C9" i="18" s="1"/>
  <c r="K68" i="19"/>
  <c r="J68" i="18" s="1"/>
  <c r="I29" i="18" s="1"/>
  <c r="F27" i="19"/>
  <c r="F9" i="19" s="1"/>
  <c r="F26" i="19"/>
  <c r="F8" i="19" s="1"/>
  <c r="J74" i="18"/>
  <c r="J71" i="18"/>
  <c r="I38" i="18" s="1"/>
  <c r="J65" i="18"/>
  <c r="J62" i="18"/>
  <c r="E65" i="19"/>
  <c r="E66" i="19"/>
  <c r="K60" i="19"/>
  <c r="J60" i="19"/>
  <c r="K55" i="19"/>
  <c r="I55" i="19"/>
  <c r="F55" i="19"/>
  <c r="D55" i="19"/>
  <c r="C55" i="19"/>
  <c r="A55" i="19"/>
  <c r="F43" i="19"/>
  <c r="D18" i="19" s="1"/>
  <c r="K46" i="19"/>
  <c r="I46" i="19"/>
  <c r="K38" i="19"/>
  <c r="F7" i="23" s="1"/>
  <c r="K37" i="19"/>
  <c r="I37" i="19"/>
  <c r="I28" i="19" s="1"/>
  <c r="A34" i="19"/>
  <c r="A33" i="19"/>
  <c r="K29" i="19"/>
  <c r="I29" i="19"/>
  <c r="K28" i="19"/>
  <c r="F24" i="19"/>
  <c r="K19" i="19"/>
  <c r="K10" i="19" s="1"/>
  <c r="E74" i="18"/>
  <c r="F44" i="18" s="1"/>
  <c r="E73" i="18"/>
  <c r="D73" i="17" s="1"/>
  <c r="F36" i="17" s="1"/>
  <c r="A13" i="17" s="1"/>
  <c r="E71" i="18"/>
  <c r="D71" i="17" s="1"/>
  <c r="A35" i="17" s="1"/>
  <c r="E68" i="18"/>
  <c r="E70" i="18" s="1"/>
  <c r="K56" i="18" s="1"/>
  <c r="G10" i="23" s="1"/>
  <c r="E63" i="18"/>
  <c r="D63" i="17" s="1"/>
  <c r="F32" i="17" s="1"/>
  <c r="K71" i="18"/>
  <c r="K38" i="18" s="1"/>
  <c r="G7" i="23" s="1"/>
  <c r="K68" i="18"/>
  <c r="D69" i="17"/>
  <c r="F43" i="17" s="1"/>
  <c r="D67" i="17"/>
  <c r="D62" i="17"/>
  <c r="D61" i="17"/>
  <c r="F27" i="18"/>
  <c r="F9" i="18" s="1"/>
  <c r="F26" i="18"/>
  <c r="F8" i="18" s="1"/>
  <c r="J74" i="17"/>
  <c r="J71" i="17"/>
  <c r="I29" i="17" s="1"/>
  <c r="J68" i="17"/>
  <c r="J65" i="17"/>
  <c r="J62" i="17"/>
  <c r="E65" i="18"/>
  <c r="E66" i="18"/>
  <c r="K60" i="18"/>
  <c r="J60" i="18"/>
  <c r="K55" i="18"/>
  <c r="I55" i="18"/>
  <c r="F55" i="18"/>
  <c r="D55" i="18"/>
  <c r="C55" i="18"/>
  <c r="A55" i="18"/>
  <c r="F40" i="18"/>
  <c r="C8" i="18" s="1"/>
  <c r="K46" i="18"/>
  <c r="K28" i="18" s="1"/>
  <c r="I46" i="18"/>
  <c r="K37" i="18"/>
  <c r="K19" i="18" s="1"/>
  <c r="K10" i="18" s="1"/>
  <c r="I37" i="18"/>
  <c r="A34" i="18"/>
  <c r="A33" i="18"/>
  <c r="K29" i="18"/>
  <c r="I28" i="18"/>
  <c r="F24" i="18"/>
  <c r="F13" i="18"/>
  <c r="F18" i="18"/>
  <c r="C10" i="18"/>
  <c r="I19" i="18"/>
  <c r="I10" i="18" s="1"/>
  <c r="D18" i="18"/>
  <c r="D13" i="18"/>
  <c r="A10" i="18"/>
  <c r="E74" i="17"/>
  <c r="E73" i="17"/>
  <c r="D73" i="16" s="1"/>
  <c r="A36" i="16" s="1"/>
  <c r="E71" i="17"/>
  <c r="F35" i="17" s="1"/>
  <c r="E68" i="17"/>
  <c r="D68" i="16" s="1"/>
  <c r="F28" i="16" s="1"/>
  <c r="K71" i="17"/>
  <c r="K29" i="17" s="1"/>
  <c r="K68" i="17"/>
  <c r="J68" i="16" s="1"/>
  <c r="I29" i="16" s="1"/>
  <c r="D74" i="16"/>
  <c r="D69" i="16"/>
  <c r="D67" i="16"/>
  <c r="D62" i="16"/>
  <c r="D61" i="16"/>
  <c r="F27" i="17"/>
  <c r="F26" i="17"/>
  <c r="F8" i="17" s="1"/>
  <c r="J74" i="16"/>
  <c r="J71" i="16"/>
  <c r="J65" i="16"/>
  <c r="J62" i="16"/>
  <c r="E75" i="17"/>
  <c r="E65" i="17"/>
  <c r="E66" i="17" s="1"/>
  <c r="K60" i="17"/>
  <c r="J60" i="17"/>
  <c r="K55" i="17"/>
  <c r="I55" i="17"/>
  <c r="F55" i="17"/>
  <c r="D55" i="17"/>
  <c r="C55" i="17"/>
  <c r="A55" i="17"/>
  <c r="F40" i="17"/>
  <c r="K46" i="17"/>
  <c r="K28" i="17" s="1"/>
  <c r="I46" i="17"/>
  <c r="K38" i="17"/>
  <c r="K37" i="17"/>
  <c r="I37" i="17"/>
  <c r="I19" i="17" s="1"/>
  <c r="I10" i="17" s="1"/>
  <c r="A33" i="17"/>
  <c r="F24" i="17"/>
  <c r="F9" i="17"/>
  <c r="C8" i="17"/>
  <c r="K19" i="17"/>
  <c r="K10" i="17" s="1"/>
  <c r="A15" i="17"/>
  <c r="E68" i="16"/>
  <c r="A43" i="16" s="1"/>
  <c r="E73" i="16"/>
  <c r="D73" i="15" s="1"/>
  <c r="A44" i="15" s="1"/>
  <c r="E71" i="16"/>
  <c r="E74" i="16"/>
  <c r="D74" i="15" s="1"/>
  <c r="F44" i="15" s="1"/>
  <c r="E63" i="16"/>
  <c r="D63" i="15" s="1"/>
  <c r="F32" i="15" s="1"/>
  <c r="C9" i="15" s="1"/>
  <c r="K68" i="16"/>
  <c r="D69" i="15"/>
  <c r="D67" i="15"/>
  <c r="D62" i="15"/>
  <c r="D61" i="15"/>
  <c r="F27" i="16"/>
  <c r="F9" i="16" s="1"/>
  <c r="F26" i="16"/>
  <c r="F8" i="16" s="1"/>
  <c r="J74" i="15"/>
  <c r="J71" i="15"/>
  <c r="J68" i="15"/>
  <c r="J65" i="15"/>
  <c r="J62" i="15"/>
  <c r="I38" i="15" s="1"/>
  <c r="E65" i="16"/>
  <c r="K60" i="16"/>
  <c r="J60" i="16"/>
  <c r="K55" i="16"/>
  <c r="I55" i="16"/>
  <c r="F55" i="16"/>
  <c r="D55" i="16"/>
  <c r="C55" i="16"/>
  <c r="A55" i="16"/>
  <c r="F40" i="16"/>
  <c r="C8" i="16" s="1"/>
  <c r="F44" i="16"/>
  <c r="D19" i="16" s="1"/>
  <c r="K46" i="16"/>
  <c r="I46" i="16"/>
  <c r="K38" i="16"/>
  <c r="I7" i="23" s="1"/>
  <c r="K37" i="16"/>
  <c r="I37" i="16"/>
  <c r="I28" i="16" s="1"/>
  <c r="A33" i="16"/>
  <c r="K29" i="16"/>
  <c r="K28" i="16"/>
  <c r="F24" i="16"/>
  <c r="F13" i="16"/>
  <c r="C10" i="16"/>
  <c r="K19" i="16"/>
  <c r="K10" i="16" s="1"/>
  <c r="I19" i="16"/>
  <c r="I10" i="16" s="1"/>
  <c r="D13" i="16"/>
  <c r="A10" i="16"/>
  <c r="E73" i="15"/>
  <c r="D73" i="14" s="1"/>
  <c r="F36" i="14" s="1"/>
  <c r="F16" i="14" s="1"/>
  <c r="E74" i="15"/>
  <c r="D74" i="14" s="1"/>
  <c r="F44" i="14" s="1"/>
  <c r="F46" i="14" s="1"/>
  <c r="E71" i="15"/>
  <c r="D71" i="14" s="1"/>
  <c r="A35" i="14" s="1"/>
  <c r="E71" i="14"/>
  <c r="F35" i="14" s="1"/>
  <c r="E74" i="14"/>
  <c r="D74" i="13" s="1"/>
  <c r="F44" i="13" s="1"/>
  <c r="E67" i="15"/>
  <c r="E63" i="15"/>
  <c r="D63" i="14" s="1"/>
  <c r="K74" i="15"/>
  <c r="K71" i="15"/>
  <c r="J71" i="14" s="1"/>
  <c r="I29" i="14" s="1"/>
  <c r="K68" i="15"/>
  <c r="D69" i="14"/>
  <c r="F43" i="14" s="1"/>
  <c r="D67" i="14"/>
  <c r="D62" i="14"/>
  <c r="D61" i="14"/>
  <c r="F40" i="14" s="1"/>
  <c r="C8" i="14" s="1"/>
  <c r="F27" i="15"/>
  <c r="F26" i="15"/>
  <c r="J74" i="14"/>
  <c r="J68" i="14"/>
  <c r="J65" i="14"/>
  <c r="J62" i="14"/>
  <c r="E70" i="15"/>
  <c r="E65" i="15"/>
  <c r="E66" i="15"/>
  <c r="K60" i="15"/>
  <c r="J60" i="15"/>
  <c r="K55" i="15"/>
  <c r="I55" i="15"/>
  <c r="F55" i="15"/>
  <c r="D55" i="15"/>
  <c r="C55" i="15"/>
  <c r="A55" i="15"/>
  <c r="F43" i="15"/>
  <c r="D18" i="15" s="1"/>
  <c r="K46" i="15"/>
  <c r="I46" i="15"/>
  <c r="K38" i="15"/>
  <c r="J7" i="23" s="1"/>
  <c r="K37" i="15"/>
  <c r="I37" i="15"/>
  <c r="I28" i="15" s="1"/>
  <c r="A34" i="15"/>
  <c r="A33" i="15"/>
  <c r="K29" i="15"/>
  <c r="I29" i="15"/>
  <c r="K28" i="15"/>
  <c r="F24" i="15"/>
  <c r="F8" i="15"/>
  <c r="F9" i="15"/>
  <c r="F13" i="15"/>
  <c r="F18" i="15"/>
  <c r="C10" i="15"/>
  <c r="K19" i="15"/>
  <c r="D13" i="15"/>
  <c r="K10" i="15"/>
  <c r="A10" i="15"/>
  <c r="C10" i="13"/>
  <c r="C11" i="13"/>
  <c r="F18" i="13"/>
  <c r="F13" i="13"/>
  <c r="J74" i="13"/>
  <c r="J71" i="13"/>
  <c r="J68" i="13"/>
  <c r="J65" i="13"/>
  <c r="J62" i="13"/>
  <c r="K71" i="14"/>
  <c r="K38" i="14" s="1"/>
  <c r="K7" i="23" s="1"/>
  <c r="K68" i="14"/>
  <c r="D62" i="13"/>
  <c r="F26" i="14"/>
  <c r="F27" i="14"/>
  <c r="E73" i="14"/>
  <c r="D73" i="13" s="1"/>
  <c r="A36" i="13" s="1"/>
  <c r="E67" i="14"/>
  <c r="E70" i="14"/>
  <c r="E65" i="14"/>
  <c r="E66" i="14"/>
  <c r="D70" i="14"/>
  <c r="K60" i="14"/>
  <c r="J60" i="14"/>
  <c r="K55" i="14"/>
  <c r="I55" i="14"/>
  <c r="F55" i="14"/>
  <c r="D55" i="14"/>
  <c r="C55" i="14"/>
  <c r="A55" i="14"/>
  <c r="K46" i="14"/>
  <c r="I46" i="14"/>
  <c r="K37" i="14"/>
  <c r="K19" i="14" s="1"/>
  <c r="K10" i="14" s="1"/>
  <c r="I37" i="14"/>
  <c r="I28" i="14" s="1"/>
  <c r="A33" i="14"/>
  <c r="K29" i="14"/>
  <c r="K28" i="14"/>
  <c r="F24" i="14"/>
  <c r="F8" i="14"/>
  <c r="F9" i="14"/>
  <c r="D18" i="14"/>
  <c r="A10" i="14"/>
  <c r="E71" i="13"/>
  <c r="E68" i="13"/>
  <c r="E67" i="13"/>
  <c r="L9" i="23" s="1"/>
  <c r="K71" i="13"/>
  <c r="K68" i="13"/>
  <c r="E65" i="13"/>
  <c r="L12" i="23" s="1"/>
  <c r="D13" i="13"/>
  <c r="A43" i="13"/>
  <c r="I46" i="13"/>
  <c r="F26" i="13"/>
  <c r="F8" i="13"/>
  <c r="A10" i="13"/>
  <c r="F24" i="13"/>
  <c r="F27" i="13"/>
  <c r="F9" i="13"/>
  <c r="I37" i="13"/>
  <c r="I19" i="13"/>
  <c r="I10" i="13" s="1"/>
  <c r="K37" i="13"/>
  <c r="K19" i="13" s="1"/>
  <c r="K10" i="13" s="1"/>
  <c r="K46" i="13"/>
  <c r="K28" i="13"/>
  <c r="I28" i="13"/>
  <c r="K55" i="13"/>
  <c r="I55" i="13"/>
  <c r="F55" i="13"/>
  <c r="D55" i="13"/>
  <c r="C55" i="13"/>
  <c r="A55" i="13"/>
  <c r="K60" i="13"/>
  <c r="J60" i="13"/>
  <c r="E75" i="13"/>
  <c r="E76" i="13" s="1"/>
  <c r="F56" i="13"/>
  <c r="L11" i="23" s="1"/>
  <c r="E70" i="13"/>
  <c r="K56" i="13" s="1"/>
  <c r="L10" i="23" s="1"/>
  <c r="K29" i="13"/>
  <c r="A33" i="13"/>
  <c r="K38" i="13"/>
  <c r="L7" i="23" s="1"/>
  <c r="F56" i="19" l="1"/>
  <c r="F11" i="23" s="1"/>
  <c r="E76" i="22"/>
  <c r="C56" i="22"/>
  <c r="C13" i="23" s="1"/>
  <c r="D13" i="19"/>
  <c r="F13" i="19"/>
  <c r="C10" i="19"/>
  <c r="A10" i="19"/>
  <c r="K11" i="13"/>
  <c r="L8" i="23" s="1"/>
  <c r="K47" i="13"/>
  <c r="L6" i="23" s="1"/>
  <c r="E77" i="13"/>
  <c r="A36" i="20"/>
  <c r="A44" i="20"/>
  <c r="F12" i="23"/>
  <c r="C16" i="18"/>
  <c r="F19" i="18"/>
  <c r="D19" i="18"/>
  <c r="A16" i="18"/>
  <c r="F11" i="22"/>
  <c r="D15" i="17"/>
  <c r="C12" i="17"/>
  <c r="A12" i="17"/>
  <c r="F15" i="17"/>
  <c r="F35" i="22"/>
  <c r="D75" i="22"/>
  <c r="D76" i="22" s="1"/>
  <c r="F32" i="14"/>
  <c r="F12" i="14" s="1"/>
  <c r="A32" i="14"/>
  <c r="C12" i="14"/>
  <c r="D15" i="14"/>
  <c r="A12" i="14"/>
  <c r="F15" i="14"/>
  <c r="F28" i="19"/>
  <c r="D70" i="19"/>
  <c r="I56" i="19" s="1"/>
  <c r="D75" i="20"/>
  <c r="D76" i="20" s="1"/>
  <c r="I11" i="20" s="1"/>
  <c r="D19" i="21"/>
  <c r="C16" i="21"/>
  <c r="A16" i="21"/>
  <c r="F19" i="21"/>
  <c r="A36" i="14"/>
  <c r="E75" i="14"/>
  <c r="I29" i="13"/>
  <c r="I56" i="14"/>
  <c r="C16" i="16"/>
  <c r="A10" i="17"/>
  <c r="C10" i="17"/>
  <c r="E76" i="21"/>
  <c r="C13" i="22"/>
  <c r="C14" i="23"/>
  <c r="D71" i="18"/>
  <c r="D71" i="15"/>
  <c r="F35" i="15" s="1"/>
  <c r="F13" i="14"/>
  <c r="E66" i="16"/>
  <c r="F56" i="17"/>
  <c r="H11" i="23" s="1"/>
  <c r="F44" i="20"/>
  <c r="E71" i="20"/>
  <c r="F35" i="20" s="1"/>
  <c r="D70" i="20"/>
  <c r="D56" i="22"/>
  <c r="D68" i="17"/>
  <c r="A43" i="17" s="1"/>
  <c r="D75" i="15"/>
  <c r="E75" i="15"/>
  <c r="F18" i="19"/>
  <c r="D16" i="22"/>
  <c r="A32" i="22"/>
  <c r="F32" i="22"/>
  <c r="F56" i="22"/>
  <c r="C11" i="23" s="1"/>
  <c r="E65" i="22"/>
  <c r="A44" i="21"/>
  <c r="A44" i="19"/>
  <c r="E66" i="13"/>
  <c r="D13" i="14"/>
  <c r="K56" i="14"/>
  <c r="K10" i="23" s="1"/>
  <c r="A15" i="15"/>
  <c r="I38" i="14"/>
  <c r="F19" i="16"/>
  <c r="F13" i="17"/>
  <c r="E70" i="19"/>
  <c r="K56" i="19" s="1"/>
  <c r="F10" i="23" s="1"/>
  <c r="H12" i="23"/>
  <c r="D71" i="21"/>
  <c r="E70" i="16"/>
  <c r="K56" i="16" s="1"/>
  <c r="I10" i="23" s="1"/>
  <c r="E75" i="18"/>
  <c r="D74" i="17"/>
  <c r="F44" i="17" s="1"/>
  <c r="A33" i="20"/>
  <c r="D65" i="21"/>
  <c r="D66" i="21" s="1"/>
  <c r="J9" i="23"/>
  <c r="D75" i="21"/>
  <c r="D76" i="21" s="1"/>
  <c r="I11" i="21" s="1"/>
  <c r="D71" i="16"/>
  <c r="F35" i="16" s="1"/>
  <c r="D71" i="13"/>
  <c r="K56" i="15"/>
  <c r="J10" i="23" s="1"/>
  <c r="E75" i="16"/>
  <c r="I12" i="23" s="1"/>
  <c r="I38" i="17"/>
  <c r="E65" i="20"/>
  <c r="A15" i="21"/>
  <c r="I28" i="21"/>
  <c r="A35" i="22"/>
  <c r="F44" i="22"/>
  <c r="I56" i="21"/>
  <c r="K9" i="23"/>
  <c r="D68" i="18"/>
  <c r="D68" i="15"/>
  <c r="I19" i="14"/>
  <c r="I10" i="14" s="1"/>
  <c r="D67" i="13"/>
  <c r="I19" i="15"/>
  <c r="I10" i="15" s="1"/>
  <c r="A15" i="19"/>
  <c r="A44" i="18"/>
  <c r="A44" i="16"/>
  <c r="I28" i="17"/>
  <c r="E70" i="20"/>
  <c r="K56" i="20" s="1"/>
  <c r="E10" i="23" s="1"/>
  <c r="F28" i="21"/>
  <c r="F46" i="15"/>
  <c r="A16" i="16"/>
  <c r="A56" i="21"/>
  <c r="K20" i="22"/>
  <c r="D65" i="16"/>
  <c r="D66" i="16" s="1"/>
  <c r="E70" i="17"/>
  <c r="K56" i="17" s="1"/>
  <c r="H10" i="23" s="1"/>
  <c r="I19" i="19"/>
  <c r="I10" i="19" s="1"/>
  <c r="A43" i="20"/>
  <c r="I38" i="19"/>
  <c r="D75" i="17"/>
  <c r="D75" i="14"/>
  <c r="D70" i="13"/>
  <c r="F18" i="17"/>
  <c r="D18" i="17"/>
  <c r="C15" i="17"/>
  <c r="C16" i="19"/>
  <c r="D19" i="19"/>
  <c r="A16" i="19"/>
  <c r="F19" i="19"/>
  <c r="D19" i="13"/>
  <c r="F19" i="13"/>
  <c r="F12" i="19"/>
  <c r="D12" i="19"/>
  <c r="A9" i="19"/>
  <c r="F12" i="18"/>
  <c r="D12" i="18"/>
  <c r="A9" i="18"/>
  <c r="C9" i="17"/>
  <c r="D12" i="17"/>
  <c r="A9" i="17"/>
  <c r="F12" i="17"/>
  <c r="F12" i="15"/>
  <c r="D12" i="15"/>
  <c r="A9" i="15"/>
  <c r="D12" i="14"/>
  <c r="A15" i="18"/>
  <c r="F46" i="18"/>
  <c r="C15" i="18"/>
  <c r="C10" i="20"/>
  <c r="A10" i="20"/>
  <c r="D13" i="20"/>
  <c r="F13" i="20"/>
  <c r="D65" i="13"/>
  <c r="D66" i="13" s="1"/>
  <c r="D65" i="15"/>
  <c r="D56" i="15"/>
  <c r="C15" i="14"/>
  <c r="A15" i="14"/>
  <c r="F18" i="14"/>
  <c r="C16" i="15"/>
  <c r="D19" i="15"/>
  <c r="A16" i="15"/>
  <c r="F19" i="15"/>
  <c r="I56" i="20"/>
  <c r="D18" i="13"/>
  <c r="F46" i="13"/>
  <c r="C15" i="13"/>
  <c r="A15" i="13"/>
  <c r="D13" i="21"/>
  <c r="F13" i="21"/>
  <c r="C10" i="21"/>
  <c r="A10" i="21"/>
  <c r="F30" i="20"/>
  <c r="F10" i="20"/>
  <c r="F11" i="20" s="1"/>
  <c r="C11" i="16"/>
  <c r="D14" i="16"/>
  <c r="A11" i="16"/>
  <c r="F14" i="16"/>
  <c r="F30" i="16"/>
  <c r="F10" i="16"/>
  <c r="F11" i="16" s="1"/>
  <c r="F30" i="14"/>
  <c r="F10" i="14"/>
  <c r="F11" i="14" s="1"/>
  <c r="F14" i="13"/>
  <c r="D14" i="13"/>
  <c r="A11" i="13"/>
  <c r="C16" i="13"/>
  <c r="D66" i="15"/>
  <c r="D70" i="17"/>
  <c r="D76" i="17"/>
  <c r="I11" i="17" s="1"/>
  <c r="D76" i="14"/>
  <c r="I11" i="14" s="1"/>
  <c r="F19" i="14"/>
  <c r="D19" i="14"/>
  <c r="A16" i="14"/>
  <c r="C16" i="14"/>
  <c r="F30" i="21"/>
  <c r="F10" i="21"/>
  <c r="F11" i="21" s="1"/>
  <c r="F43" i="16"/>
  <c r="D70" i="16"/>
  <c r="C9" i="21"/>
  <c r="F12" i="21"/>
  <c r="D12" i="21"/>
  <c r="A9" i="21"/>
  <c r="C13" i="17"/>
  <c r="F16" i="17"/>
  <c r="D16" i="17"/>
  <c r="C13" i="14"/>
  <c r="D16" i="14"/>
  <c r="A13" i="14"/>
  <c r="A16" i="13"/>
  <c r="I38" i="16"/>
  <c r="F46" i="19"/>
  <c r="A34" i="13"/>
  <c r="A44" i="14"/>
  <c r="A34" i="16"/>
  <c r="A36" i="17"/>
  <c r="D56" i="17"/>
  <c r="D56" i="21"/>
  <c r="F36" i="21"/>
  <c r="F34" i="20"/>
  <c r="F34" i="19"/>
  <c r="F34" i="18"/>
  <c r="F34" i="17"/>
  <c r="F32" i="16"/>
  <c r="F36" i="15"/>
  <c r="F34" i="15"/>
  <c r="F34" i="14"/>
  <c r="F36" i="13"/>
  <c r="A44" i="13"/>
  <c r="I38" i="13"/>
  <c r="A34" i="14"/>
  <c r="A43" i="14"/>
  <c r="D65" i="14"/>
  <c r="D66" i="14" s="1"/>
  <c r="C15" i="15"/>
  <c r="A32" i="15"/>
  <c r="A36" i="15"/>
  <c r="A44" i="17"/>
  <c r="D65" i="17"/>
  <c r="D66" i="17" s="1"/>
  <c r="A32" i="18"/>
  <c r="A36" i="18"/>
  <c r="D65" i="18"/>
  <c r="D66" i="18" s="1"/>
  <c r="C15" i="19"/>
  <c r="A32" i="19"/>
  <c r="A36" i="19"/>
  <c r="D65" i="19"/>
  <c r="D66" i="19" s="1"/>
  <c r="F43" i="20"/>
  <c r="A32" i="21"/>
  <c r="A36" i="21"/>
  <c r="F46" i="21"/>
  <c r="I47" i="21"/>
  <c r="F28" i="17"/>
  <c r="F28" i="13"/>
  <c r="A32" i="17"/>
  <c r="F34" i="21"/>
  <c r="F36" i="20"/>
  <c r="F32" i="20"/>
  <c r="F36" i="19"/>
  <c r="F36" i="18"/>
  <c r="F36" i="16"/>
  <c r="F32" i="13"/>
  <c r="F40" i="15"/>
  <c r="C8" i="15" s="1"/>
  <c r="A32" i="16"/>
  <c r="A34" i="17"/>
  <c r="F40" i="19"/>
  <c r="C8" i="19" s="1"/>
  <c r="A32" i="20"/>
  <c r="D18" i="21"/>
  <c r="C12" i="20" l="1"/>
  <c r="D15" i="20"/>
  <c r="A12" i="20"/>
  <c r="F15" i="20"/>
  <c r="F19" i="17"/>
  <c r="F46" i="17"/>
  <c r="D19" i="17"/>
  <c r="C16" i="17"/>
  <c r="A16" i="17"/>
  <c r="D15" i="16"/>
  <c r="A12" i="16"/>
  <c r="F15" i="16"/>
  <c r="C12" i="16"/>
  <c r="C12" i="15"/>
  <c r="D15" i="15"/>
  <c r="A12" i="15"/>
  <c r="F15" i="15"/>
  <c r="F37" i="15"/>
  <c r="C9" i="14"/>
  <c r="F28" i="18"/>
  <c r="A43" i="18"/>
  <c r="D70" i="18"/>
  <c r="I56" i="18" s="1"/>
  <c r="A35" i="13"/>
  <c r="D75" i="13"/>
  <c r="E66" i="22"/>
  <c r="C12" i="23"/>
  <c r="I47" i="20"/>
  <c r="I47" i="22"/>
  <c r="I11" i="22"/>
  <c r="E77" i="21"/>
  <c r="K47" i="21"/>
  <c r="D6" i="23" s="1"/>
  <c r="K11" i="21"/>
  <c r="D8" i="23" s="1"/>
  <c r="A12" i="22"/>
  <c r="F15" i="22"/>
  <c r="C12" i="22"/>
  <c r="D15" i="22"/>
  <c r="F37" i="22"/>
  <c r="D12" i="22"/>
  <c r="C9" i="22"/>
  <c r="F12" i="22"/>
  <c r="A9" i="22"/>
  <c r="F19" i="20"/>
  <c r="C16" i="20"/>
  <c r="D19" i="20"/>
  <c r="A16" i="20"/>
  <c r="F38" i="22"/>
  <c r="E76" i="17"/>
  <c r="D56" i="20"/>
  <c r="C16" i="22"/>
  <c r="F19" i="22"/>
  <c r="D19" i="22"/>
  <c r="F46" i="22"/>
  <c r="A16" i="22"/>
  <c r="F30" i="19"/>
  <c r="F10" i="19"/>
  <c r="F11" i="19" s="1"/>
  <c r="F37" i="14"/>
  <c r="A35" i="15"/>
  <c r="F28" i="15"/>
  <c r="D70" i="15"/>
  <c r="A43" i="15"/>
  <c r="F56" i="15"/>
  <c r="J11" i="23" s="1"/>
  <c r="E76" i="15"/>
  <c r="F35" i="13"/>
  <c r="D56" i="14"/>
  <c r="F56" i="18"/>
  <c r="G11" i="23" s="1"/>
  <c r="E76" i="18"/>
  <c r="A56" i="22"/>
  <c r="F56" i="14"/>
  <c r="K11" i="23" s="1"/>
  <c r="E76" i="14"/>
  <c r="K12" i="23"/>
  <c r="J12" i="23"/>
  <c r="E75" i="20"/>
  <c r="A35" i="20"/>
  <c r="D71" i="19"/>
  <c r="E66" i="20"/>
  <c r="E12" i="23"/>
  <c r="G12" i="23"/>
  <c r="K47" i="22"/>
  <c r="C6" i="23" s="1"/>
  <c r="K11" i="22"/>
  <c r="C8" i="23" s="1"/>
  <c r="E77" i="22"/>
  <c r="I56" i="13"/>
  <c r="F35" i="18"/>
  <c r="A35" i="18"/>
  <c r="E76" i="19"/>
  <c r="D75" i="16"/>
  <c r="A35" i="16"/>
  <c r="F37" i="18"/>
  <c r="A9" i="14"/>
  <c r="F56" i="16"/>
  <c r="I11" i="23" s="1"/>
  <c r="E76" i="16"/>
  <c r="F35" i="21"/>
  <c r="A35" i="21"/>
  <c r="D75" i="18"/>
  <c r="C11" i="20"/>
  <c r="D14" i="20"/>
  <c r="A11" i="20"/>
  <c r="F14" i="20"/>
  <c r="F16" i="16"/>
  <c r="D16" i="16"/>
  <c r="A13" i="16"/>
  <c r="C13" i="16"/>
  <c r="F16" i="20"/>
  <c r="D16" i="20"/>
  <c r="C13" i="20"/>
  <c r="A13" i="20"/>
  <c r="F30" i="13"/>
  <c r="F10" i="13"/>
  <c r="F11" i="13" s="1"/>
  <c r="A13" i="15"/>
  <c r="F16" i="15"/>
  <c r="D16" i="15"/>
  <c r="C13" i="15"/>
  <c r="C11" i="19"/>
  <c r="D14" i="19"/>
  <c r="A11" i="19"/>
  <c r="F14" i="19"/>
  <c r="F46" i="16"/>
  <c r="C15" i="16"/>
  <c r="A15" i="16"/>
  <c r="F18" i="16"/>
  <c r="D18" i="16"/>
  <c r="K77" i="20"/>
  <c r="J77" i="19" s="1"/>
  <c r="K20" i="20"/>
  <c r="F38" i="20"/>
  <c r="C56" i="20"/>
  <c r="E13" i="23" s="1"/>
  <c r="E14" i="23"/>
  <c r="F16" i="19"/>
  <c r="D16" i="19"/>
  <c r="A13" i="19"/>
  <c r="C13" i="19"/>
  <c r="F14" i="14"/>
  <c r="D14" i="14"/>
  <c r="A11" i="14"/>
  <c r="C11" i="14"/>
  <c r="F14" i="17"/>
  <c r="C11" i="17"/>
  <c r="D14" i="17"/>
  <c r="A11" i="17"/>
  <c r="C13" i="21"/>
  <c r="F16" i="21"/>
  <c r="D16" i="21"/>
  <c r="A13" i="21"/>
  <c r="C56" i="21"/>
  <c r="D13" i="23" s="1"/>
  <c r="K20" i="21"/>
  <c r="F38" i="21"/>
  <c r="K77" i="21"/>
  <c r="J77" i="20" s="1"/>
  <c r="D14" i="23"/>
  <c r="F16" i="18"/>
  <c r="D16" i="18"/>
  <c r="A13" i="18"/>
  <c r="C13" i="18"/>
  <c r="F14" i="21"/>
  <c r="C11" i="21"/>
  <c r="D14" i="21"/>
  <c r="A11" i="21"/>
  <c r="F30" i="17"/>
  <c r="F10" i="17"/>
  <c r="F11" i="17" s="1"/>
  <c r="F16" i="13"/>
  <c r="A13" i="13"/>
  <c r="C13" i="13"/>
  <c r="D16" i="13"/>
  <c r="F12" i="16"/>
  <c r="D12" i="16"/>
  <c r="A9" i="16"/>
  <c r="F37" i="16"/>
  <c r="C9" i="16"/>
  <c r="C56" i="14"/>
  <c r="K13" i="23" s="1"/>
  <c r="F38" i="14"/>
  <c r="K77" i="14"/>
  <c r="J77" i="13" s="1"/>
  <c r="K20" i="14"/>
  <c r="K14" i="23"/>
  <c r="D12" i="13"/>
  <c r="C9" i="13"/>
  <c r="A9" i="13"/>
  <c r="F12" i="13"/>
  <c r="F37" i="13"/>
  <c r="F12" i="20"/>
  <c r="D12" i="20"/>
  <c r="A9" i="20"/>
  <c r="F37" i="20"/>
  <c r="C9" i="20"/>
  <c r="F46" i="20"/>
  <c r="C15" i="20"/>
  <c r="F18" i="20"/>
  <c r="A15" i="20"/>
  <c r="D18" i="20"/>
  <c r="C11" i="15"/>
  <c r="D14" i="15"/>
  <c r="A11" i="15"/>
  <c r="F14" i="15"/>
  <c r="C11" i="18"/>
  <c r="D14" i="18"/>
  <c r="A11" i="18"/>
  <c r="F14" i="18"/>
  <c r="I56" i="16"/>
  <c r="K77" i="16"/>
  <c r="J77" i="15" s="1"/>
  <c r="C56" i="16"/>
  <c r="I13" i="23" s="1"/>
  <c r="F38" i="16"/>
  <c r="K20" i="16"/>
  <c r="I14" i="23"/>
  <c r="F37" i="17"/>
  <c r="F37" i="21"/>
  <c r="I47" i="17"/>
  <c r="I47" i="14"/>
  <c r="I56" i="17"/>
  <c r="K47" i="17" l="1"/>
  <c r="H6" i="23" s="1"/>
  <c r="E77" i="17"/>
  <c r="K11" i="17"/>
  <c r="H8" i="23" s="1"/>
  <c r="D15" i="21"/>
  <c r="C12" i="21"/>
  <c r="A12" i="21"/>
  <c r="F15" i="21"/>
  <c r="E77" i="14"/>
  <c r="K11" i="14"/>
  <c r="K8" i="23" s="1"/>
  <c r="K47" i="14"/>
  <c r="K6" i="23" s="1"/>
  <c r="A56" i="18"/>
  <c r="K11" i="16"/>
  <c r="I8" i="23" s="1"/>
  <c r="E77" i="16"/>
  <c r="K47" i="16"/>
  <c r="I6" i="23" s="1"/>
  <c r="F30" i="18"/>
  <c r="F10" i="18"/>
  <c r="F11" i="18" s="1"/>
  <c r="D56" i="18"/>
  <c r="D76" i="18"/>
  <c r="F41" i="22"/>
  <c r="F47" i="22" s="1"/>
  <c r="C15" i="23"/>
  <c r="K11" i="18"/>
  <c r="G8" i="23" s="1"/>
  <c r="K47" i="18"/>
  <c r="G6" i="23" s="1"/>
  <c r="E77" i="18"/>
  <c r="C56" i="19"/>
  <c r="F13" i="23" s="1"/>
  <c r="F14" i="23"/>
  <c r="K20" i="19"/>
  <c r="K77" i="19"/>
  <c r="J77" i="18" s="1"/>
  <c r="I20" i="18" s="1"/>
  <c r="F15" i="13"/>
  <c r="C12" i="13"/>
  <c r="D15" i="13"/>
  <c r="A12" i="13"/>
  <c r="D56" i="16"/>
  <c r="D76" i="16"/>
  <c r="F35" i="19"/>
  <c r="D75" i="19"/>
  <c r="A35" i="19"/>
  <c r="E77" i="15"/>
  <c r="K11" i="15"/>
  <c r="J8" i="23" s="1"/>
  <c r="K47" i="15"/>
  <c r="J6" i="23" s="1"/>
  <c r="K47" i="19"/>
  <c r="F6" i="23" s="1"/>
  <c r="K11" i="19"/>
  <c r="F8" i="23" s="1"/>
  <c r="E77" i="19"/>
  <c r="E76" i="20"/>
  <c r="F56" i="20"/>
  <c r="E11" i="23" s="1"/>
  <c r="F30" i="15"/>
  <c r="F10" i="15"/>
  <c r="F11" i="15" s="1"/>
  <c r="C12" i="18"/>
  <c r="A12" i="18"/>
  <c r="F15" i="18"/>
  <c r="D15" i="18"/>
  <c r="I56" i="15"/>
  <c r="D76" i="15"/>
  <c r="D76" i="13"/>
  <c r="D56" i="13"/>
  <c r="I15" i="23"/>
  <c r="F41" i="16"/>
  <c r="F47" i="16" s="1"/>
  <c r="K20" i="17"/>
  <c r="C56" i="17"/>
  <c r="H13" i="23" s="1"/>
  <c r="F38" i="17"/>
  <c r="K77" i="17"/>
  <c r="J77" i="16" s="1"/>
  <c r="H14" i="23"/>
  <c r="I20" i="20"/>
  <c r="A56" i="20"/>
  <c r="K20" i="13"/>
  <c r="F38" i="13"/>
  <c r="K77" i="13"/>
  <c r="C56" i="13"/>
  <c r="L13" i="23" s="1"/>
  <c r="L14" i="23"/>
  <c r="E15" i="23"/>
  <c r="F41" i="20"/>
  <c r="F47" i="20" s="1"/>
  <c r="K15" i="23"/>
  <c r="F41" i="14"/>
  <c r="F47" i="14" s="1"/>
  <c r="I20" i="15"/>
  <c r="A56" i="15"/>
  <c r="I20" i="13"/>
  <c r="A56" i="13"/>
  <c r="D15" i="23"/>
  <c r="F41" i="21"/>
  <c r="F47" i="21" s="1"/>
  <c r="I20" i="19"/>
  <c r="D76" i="19" l="1"/>
  <c r="D56" i="19"/>
  <c r="K20" i="15"/>
  <c r="C56" i="15"/>
  <c r="J13" i="23" s="1"/>
  <c r="K77" i="15"/>
  <c r="J77" i="14" s="1"/>
  <c r="J14" i="23"/>
  <c r="F38" i="15"/>
  <c r="D15" i="19"/>
  <c r="A12" i="19"/>
  <c r="F15" i="19"/>
  <c r="C12" i="19"/>
  <c r="F37" i="19"/>
  <c r="F38" i="19"/>
  <c r="F17" i="22"/>
  <c r="F20" i="22" s="1"/>
  <c r="A14" i="22"/>
  <c r="C14" i="22"/>
  <c r="C20" i="22" s="1"/>
  <c r="D17" i="22"/>
  <c r="I11" i="15"/>
  <c r="I47" i="15"/>
  <c r="K20" i="18"/>
  <c r="K77" i="18"/>
  <c r="J77" i="17" s="1"/>
  <c r="F38" i="18"/>
  <c r="G14" i="23"/>
  <c r="C56" i="18"/>
  <c r="G13" i="23" s="1"/>
  <c r="I11" i="16"/>
  <c r="I47" i="16"/>
  <c r="E77" i="20"/>
  <c r="K47" i="20"/>
  <c r="E6" i="23" s="1"/>
  <c r="K11" i="20"/>
  <c r="E8" i="23" s="1"/>
  <c r="I11" i="18"/>
  <c r="I47" i="18"/>
  <c r="A56" i="19"/>
  <c r="I47" i="13"/>
  <c r="I11" i="13"/>
  <c r="I20" i="16"/>
  <c r="A56" i="16"/>
  <c r="L15" i="23"/>
  <c r="F41" i="13"/>
  <c r="F47" i="13" s="1"/>
  <c r="H15" i="23"/>
  <c r="F41" i="17"/>
  <c r="F47" i="17" s="1"/>
  <c r="D17" i="21"/>
  <c r="F17" i="21"/>
  <c r="F20" i="21" s="1"/>
  <c r="A14" i="21"/>
  <c r="C14" i="21"/>
  <c r="C20" i="21" s="1"/>
  <c r="L3" i="21" s="1"/>
  <c r="F17" i="20"/>
  <c r="F20" i="20" s="1"/>
  <c r="A14" i="20"/>
  <c r="C14" i="20"/>
  <c r="C20" i="20" s="1"/>
  <c r="L3" i="20" s="1"/>
  <c r="D17" i="20"/>
  <c r="C14" i="16"/>
  <c r="C20" i="16" s="1"/>
  <c r="D17" i="16"/>
  <c r="F17" i="16"/>
  <c r="F20" i="16" s="1"/>
  <c r="A14" i="16"/>
  <c r="C14" i="14"/>
  <c r="C20" i="14" s="1"/>
  <c r="A14" i="14"/>
  <c r="F17" i="14"/>
  <c r="F20" i="14" s="1"/>
  <c r="D17" i="14"/>
  <c r="I20" i="17" l="1"/>
  <c r="A56" i="17"/>
  <c r="F41" i="15"/>
  <c r="F47" i="15" s="1"/>
  <c r="J15" i="23"/>
  <c r="G15" i="23"/>
  <c r="F41" i="18"/>
  <c r="F47" i="18" s="1"/>
  <c r="I20" i="14"/>
  <c r="A56" i="14"/>
  <c r="L3" i="22"/>
  <c r="F41" i="19"/>
  <c r="F47" i="19" s="1"/>
  <c r="F15" i="23"/>
  <c r="I47" i="19"/>
  <c r="I11" i="19"/>
  <c r="F17" i="17"/>
  <c r="F20" i="17" s="1"/>
  <c r="A14" i="17"/>
  <c r="C14" i="17"/>
  <c r="C20" i="17" s="1"/>
  <c r="D17" i="17"/>
  <c r="L3" i="16"/>
  <c r="C14" i="13"/>
  <c r="C20" i="13" s="1"/>
  <c r="F17" i="13"/>
  <c r="F20" i="13" s="1"/>
  <c r="D17" i="13"/>
  <c r="A14" i="13"/>
  <c r="L3" i="14"/>
  <c r="F17" i="19" l="1"/>
  <c r="F20" i="19" s="1"/>
  <c r="A14" i="19"/>
  <c r="C14" i="19"/>
  <c r="C20" i="19" s="1"/>
  <c r="D17" i="19"/>
  <c r="L3" i="13"/>
  <c r="C14" i="18"/>
  <c r="C20" i="18" s="1"/>
  <c r="L3" i="18" s="1"/>
  <c r="D17" i="18"/>
  <c r="A14" i="18"/>
  <c r="F17" i="18"/>
  <c r="F20" i="18" s="1"/>
  <c r="F17" i="15"/>
  <c r="F20" i="15" s="1"/>
  <c r="A14" i="15"/>
  <c r="C14" i="15"/>
  <c r="C20" i="15" s="1"/>
  <c r="D17" i="15"/>
  <c r="L3" i="17"/>
  <c r="L3" i="15" l="1"/>
  <c r="L3" i="19"/>
</calcChain>
</file>

<file path=xl/comments1.xml><?xml version="1.0" encoding="utf-8"?>
<comments xmlns="http://schemas.openxmlformats.org/spreadsheetml/2006/main">
  <authors>
    <author>Gerhard Radinger</author>
  </authors>
  <commentList>
    <comment ref="J68" authorId="0" shapeId="0">
      <text>
        <r>
          <rPr>
            <b/>
            <sz val="8"/>
            <color indexed="81"/>
            <rFont val="Tahoma"/>
            <family val="2"/>
          </rPr>
          <t>Gerhard Radinger:</t>
        </r>
        <r>
          <rPr>
            <sz val="8"/>
            <color indexed="81"/>
            <rFont val="Tahoma"/>
            <family val="2"/>
          </rPr>
          <t xml:space="preserve">
Zinsaufwand mit Zinsertrag saldiert</t>
        </r>
      </text>
    </comment>
    <comment ref="I70" authorId="0" shapeId="0">
      <text>
        <r>
          <rPr>
            <b/>
            <sz val="8"/>
            <color indexed="81"/>
            <rFont val="Tahoma"/>
            <family val="2"/>
          </rPr>
          <t>Gerhard Radinger:</t>
        </r>
        <r>
          <rPr>
            <sz val="8"/>
            <color indexed="81"/>
            <rFont val="Tahoma"/>
            <family val="2"/>
          </rPr>
          <t xml:space="preserve">
EBIT = JÜ + Zinsen + Steuern +/- evtl. ao. Positionen
</t>
        </r>
        <r>
          <rPr>
            <b/>
            <sz val="8"/>
            <color indexed="81"/>
            <rFont val="Tahoma"/>
            <family val="2"/>
          </rPr>
          <t>=&gt; entspricht dem "alten" Betriebsergebnis der Seite I B 4</t>
        </r>
      </text>
    </comment>
  </commentList>
</comments>
</file>

<file path=xl/comments10.xml><?xml version="1.0" encoding="utf-8"?>
<comments xmlns="http://schemas.openxmlformats.org/spreadsheetml/2006/main">
  <authors>
    <author>Gerhard Radinger</author>
  </authors>
  <commentList>
    <comment ref="J68" authorId="0" shapeId="0">
      <text>
        <r>
          <rPr>
            <b/>
            <sz val="8"/>
            <color indexed="81"/>
            <rFont val="Tahoma"/>
            <family val="2"/>
          </rPr>
          <t>Gerhard Radinger:</t>
        </r>
        <r>
          <rPr>
            <sz val="8"/>
            <color indexed="81"/>
            <rFont val="Tahoma"/>
            <family val="2"/>
          </rPr>
          <t xml:space="preserve">
Zinsaufwand mit Zinsertrag saldiert</t>
        </r>
      </text>
    </comment>
    <comment ref="I70" authorId="0" shapeId="0">
      <text>
        <r>
          <rPr>
            <b/>
            <sz val="8"/>
            <color indexed="81"/>
            <rFont val="Tahoma"/>
            <family val="2"/>
          </rPr>
          <t>Gerhard Radinger:</t>
        </r>
        <r>
          <rPr>
            <sz val="8"/>
            <color indexed="81"/>
            <rFont val="Tahoma"/>
            <family val="2"/>
          </rPr>
          <t xml:space="preserve">
EBIT = JÜ + Zinsen + Steuern +/- evtl. ao. Positionen
</t>
        </r>
        <r>
          <rPr>
            <b/>
            <sz val="8"/>
            <color indexed="81"/>
            <rFont val="Tahoma"/>
            <family val="2"/>
          </rPr>
          <t>=&gt; entspricht dem "alten" Betriebsergebnis der Seite I B 4</t>
        </r>
      </text>
    </comment>
  </commentList>
</comments>
</file>

<file path=xl/comments2.xml><?xml version="1.0" encoding="utf-8"?>
<comments xmlns="http://schemas.openxmlformats.org/spreadsheetml/2006/main">
  <authors>
    <author>Gerhard Radinger</author>
  </authors>
  <commentList>
    <comment ref="J68" authorId="0" shapeId="0">
      <text>
        <r>
          <rPr>
            <b/>
            <sz val="8"/>
            <color indexed="81"/>
            <rFont val="Tahoma"/>
            <family val="2"/>
          </rPr>
          <t>Gerhard Radinger:</t>
        </r>
        <r>
          <rPr>
            <sz val="8"/>
            <color indexed="81"/>
            <rFont val="Tahoma"/>
            <family val="2"/>
          </rPr>
          <t xml:space="preserve">
Zinsaufwand mit Zinsertrag saldiert</t>
        </r>
      </text>
    </comment>
    <comment ref="I70" authorId="0" shapeId="0">
      <text>
        <r>
          <rPr>
            <b/>
            <sz val="8"/>
            <color indexed="81"/>
            <rFont val="Tahoma"/>
            <family val="2"/>
          </rPr>
          <t>Gerhard Radinger:</t>
        </r>
        <r>
          <rPr>
            <sz val="8"/>
            <color indexed="81"/>
            <rFont val="Tahoma"/>
            <family val="2"/>
          </rPr>
          <t xml:space="preserve">
EBIT = JÜ + Zinsen + Steuern +/- evtl. ao. Positionen
</t>
        </r>
        <r>
          <rPr>
            <b/>
            <sz val="8"/>
            <color indexed="81"/>
            <rFont val="Tahoma"/>
            <family val="2"/>
          </rPr>
          <t>=&gt; entspricht dem "alten" Betriebsergebnis der Seite I B 4</t>
        </r>
      </text>
    </comment>
  </commentList>
</comments>
</file>

<file path=xl/comments3.xml><?xml version="1.0" encoding="utf-8"?>
<comments xmlns="http://schemas.openxmlformats.org/spreadsheetml/2006/main">
  <authors>
    <author>Gerhard Radinger</author>
  </authors>
  <commentList>
    <comment ref="J68" authorId="0" shapeId="0">
      <text>
        <r>
          <rPr>
            <b/>
            <sz val="8"/>
            <color indexed="81"/>
            <rFont val="Tahoma"/>
            <family val="2"/>
          </rPr>
          <t>Gerhard Radinger:</t>
        </r>
        <r>
          <rPr>
            <sz val="8"/>
            <color indexed="81"/>
            <rFont val="Tahoma"/>
            <family val="2"/>
          </rPr>
          <t xml:space="preserve">
Zinsaufwand mit Zinsertrag saldiert</t>
        </r>
      </text>
    </comment>
    <comment ref="I70" authorId="0" shapeId="0">
      <text>
        <r>
          <rPr>
            <b/>
            <sz val="8"/>
            <color indexed="81"/>
            <rFont val="Tahoma"/>
            <family val="2"/>
          </rPr>
          <t>Gerhard Radinger:</t>
        </r>
        <r>
          <rPr>
            <sz val="8"/>
            <color indexed="81"/>
            <rFont val="Tahoma"/>
            <family val="2"/>
          </rPr>
          <t xml:space="preserve">
EBIT = JÜ + Zinsen + Steuern +/- evtl. ao. Positionen
</t>
        </r>
        <r>
          <rPr>
            <b/>
            <sz val="8"/>
            <color indexed="81"/>
            <rFont val="Tahoma"/>
            <family val="2"/>
          </rPr>
          <t>=&gt; entspricht dem "alten" Betriebsergebnis der Seite I B 4</t>
        </r>
      </text>
    </comment>
  </commentList>
</comments>
</file>

<file path=xl/comments4.xml><?xml version="1.0" encoding="utf-8"?>
<comments xmlns="http://schemas.openxmlformats.org/spreadsheetml/2006/main">
  <authors>
    <author>Gerhard Radinger</author>
  </authors>
  <commentList>
    <comment ref="J68" authorId="0" shapeId="0">
      <text>
        <r>
          <rPr>
            <b/>
            <sz val="8"/>
            <color indexed="81"/>
            <rFont val="Tahoma"/>
            <family val="2"/>
          </rPr>
          <t>Gerhard Radinger:</t>
        </r>
        <r>
          <rPr>
            <sz val="8"/>
            <color indexed="81"/>
            <rFont val="Tahoma"/>
            <family val="2"/>
          </rPr>
          <t xml:space="preserve">
Zinsaufwand mit Zinsertrag saldiert</t>
        </r>
      </text>
    </comment>
    <comment ref="I70" authorId="0" shapeId="0">
      <text>
        <r>
          <rPr>
            <b/>
            <sz val="8"/>
            <color indexed="81"/>
            <rFont val="Tahoma"/>
            <family val="2"/>
          </rPr>
          <t>Gerhard Radinger:</t>
        </r>
        <r>
          <rPr>
            <sz val="8"/>
            <color indexed="81"/>
            <rFont val="Tahoma"/>
            <family val="2"/>
          </rPr>
          <t xml:space="preserve">
EBIT = JÜ + Zinsen + Steuern +/- evtl. ao. Positionen
</t>
        </r>
        <r>
          <rPr>
            <b/>
            <sz val="8"/>
            <color indexed="81"/>
            <rFont val="Tahoma"/>
            <family val="2"/>
          </rPr>
          <t>=&gt; entspricht dem "alten" Betriebsergebnis der Seite I B 4</t>
        </r>
      </text>
    </comment>
  </commentList>
</comments>
</file>

<file path=xl/comments5.xml><?xml version="1.0" encoding="utf-8"?>
<comments xmlns="http://schemas.openxmlformats.org/spreadsheetml/2006/main">
  <authors>
    <author>Gerhard Radinger</author>
  </authors>
  <commentList>
    <comment ref="J68" authorId="0" shapeId="0">
      <text>
        <r>
          <rPr>
            <b/>
            <sz val="8"/>
            <color indexed="81"/>
            <rFont val="Tahoma"/>
            <family val="2"/>
          </rPr>
          <t>Gerhard Radinger:</t>
        </r>
        <r>
          <rPr>
            <sz val="8"/>
            <color indexed="81"/>
            <rFont val="Tahoma"/>
            <family val="2"/>
          </rPr>
          <t xml:space="preserve">
Zinsaufwand mit Zinsertrag saldiert</t>
        </r>
      </text>
    </comment>
    <comment ref="I70" authorId="0" shapeId="0">
      <text>
        <r>
          <rPr>
            <b/>
            <sz val="8"/>
            <color indexed="81"/>
            <rFont val="Tahoma"/>
            <family val="2"/>
          </rPr>
          <t>Gerhard Radinger:</t>
        </r>
        <r>
          <rPr>
            <sz val="8"/>
            <color indexed="81"/>
            <rFont val="Tahoma"/>
            <family val="2"/>
          </rPr>
          <t xml:space="preserve">
EBIT = JÜ + Zinsen + Steuern +/- evtl. ao. Positionen
</t>
        </r>
        <r>
          <rPr>
            <b/>
            <sz val="8"/>
            <color indexed="81"/>
            <rFont val="Tahoma"/>
            <family val="2"/>
          </rPr>
          <t>=&gt; entspricht dem "alten" Betriebsergebnis der Seite I B 4</t>
        </r>
      </text>
    </comment>
  </commentList>
</comments>
</file>

<file path=xl/comments6.xml><?xml version="1.0" encoding="utf-8"?>
<comments xmlns="http://schemas.openxmlformats.org/spreadsheetml/2006/main">
  <authors>
    <author>Gerhard Radinger</author>
  </authors>
  <commentList>
    <comment ref="J68" authorId="0" shapeId="0">
      <text>
        <r>
          <rPr>
            <b/>
            <sz val="8"/>
            <color indexed="81"/>
            <rFont val="Tahoma"/>
            <family val="2"/>
          </rPr>
          <t>Gerhard Radinger:</t>
        </r>
        <r>
          <rPr>
            <sz val="8"/>
            <color indexed="81"/>
            <rFont val="Tahoma"/>
            <family val="2"/>
          </rPr>
          <t xml:space="preserve">
Zinsaufwand mit Zinsertrag saldiert</t>
        </r>
      </text>
    </comment>
    <comment ref="I70" authorId="0" shapeId="0">
      <text>
        <r>
          <rPr>
            <b/>
            <sz val="8"/>
            <color indexed="81"/>
            <rFont val="Tahoma"/>
            <family val="2"/>
          </rPr>
          <t>Gerhard Radinger:</t>
        </r>
        <r>
          <rPr>
            <sz val="8"/>
            <color indexed="81"/>
            <rFont val="Tahoma"/>
            <family val="2"/>
          </rPr>
          <t xml:space="preserve">
EBIT = JÜ + Zinsen + Steuern +/- evtl. ao. Positionen
</t>
        </r>
        <r>
          <rPr>
            <b/>
            <sz val="8"/>
            <color indexed="81"/>
            <rFont val="Tahoma"/>
            <family val="2"/>
          </rPr>
          <t>=&gt; entspricht dem "alten" Betriebsergebnis der Seite I B 4</t>
        </r>
      </text>
    </comment>
  </commentList>
</comments>
</file>

<file path=xl/comments7.xml><?xml version="1.0" encoding="utf-8"?>
<comments xmlns="http://schemas.openxmlformats.org/spreadsheetml/2006/main">
  <authors>
    <author>Gerhard Radinger</author>
  </authors>
  <commentList>
    <comment ref="J68" authorId="0" shapeId="0">
      <text>
        <r>
          <rPr>
            <b/>
            <sz val="8"/>
            <color indexed="81"/>
            <rFont val="Tahoma"/>
            <family val="2"/>
          </rPr>
          <t>Gerhard Radinger:</t>
        </r>
        <r>
          <rPr>
            <sz val="8"/>
            <color indexed="81"/>
            <rFont val="Tahoma"/>
            <family val="2"/>
          </rPr>
          <t xml:space="preserve">
Zinsaufwand mit Zinsertrag saldiert</t>
        </r>
      </text>
    </comment>
    <comment ref="I70" authorId="0" shapeId="0">
      <text>
        <r>
          <rPr>
            <b/>
            <sz val="8"/>
            <color indexed="81"/>
            <rFont val="Tahoma"/>
            <family val="2"/>
          </rPr>
          <t>Gerhard Radinger:</t>
        </r>
        <r>
          <rPr>
            <sz val="8"/>
            <color indexed="81"/>
            <rFont val="Tahoma"/>
            <family val="2"/>
          </rPr>
          <t xml:space="preserve">
EBIT = JÜ + Zinsen + Steuern +/- evtl. ao. Positionen
</t>
        </r>
        <r>
          <rPr>
            <b/>
            <sz val="8"/>
            <color indexed="81"/>
            <rFont val="Tahoma"/>
            <family val="2"/>
          </rPr>
          <t>=&gt; entspricht dem "alten" Betriebsergebnis der Seite I B 4</t>
        </r>
      </text>
    </comment>
  </commentList>
</comments>
</file>

<file path=xl/comments8.xml><?xml version="1.0" encoding="utf-8"?>
<comments xmlns="http://schemas.openxmlformats.org/spreadsheetml/2006/main">
  <authors>
    <author>Gerhard Radinger</author>
  </authors>
  <commentList>
    <comment ref="J68" authorId="0" shapeId="0">
      <text>
        <r>
          <rPr>
            <b/>
            <sz val="8"/>
            <color indexed="81"/>
            <rFont val="Tahoma"/>
            <family val="2"/>
          </rPr>
          <t>Gerhard Radinger:</t>
        </r>
        <r>
          <rPr>
            <sz val="8"/>
            <color indexed="81"/>
            <rFont val="Tahoma"/>
            <family val="2"/>
          </rPr>
          <t xml:space="preserve">
Zinsaufwand mit Zinsertrag saldiert</t>
        </r>
      </text>
    </comment>
    <comment ref="I70" authorId="0" shapeId="0">
      <text>
        <r>
          <rPr>
            <b/>
            <sz val="8"/>
            <color indexed="81"/>
            <rFont val="Tahoma"/>
            <family val="2"/>
          </rPr>
          <t>Gerhard Radinger:</t>
        </r>
        <r>
          <rPr>
            <sz val="8"/>
            <color indexed="81"/>
            <rFont val="Tahoma"/>
            <family val="2"/>
          </rPr>
          <t xml:space="preserve">
EBIT = JÜ + Zinsen + Steuern +/- evtl. ao. Positionen
</t>
        </r>
        <r>
          <rPr>
            <b/>
            <sz val="8"/>
            <color indexed="81"/>
            <rFont val="Tahoma"/>
            <family val="2"/>
          </rPr>
          <t>=&gt; entspricht dem "alten" Betriebsergebnis der Seite I B 4</t>
        </r>
      </text>
    </comment>
  </commentList>
</comments>
</file>

<file path=xl/comments9.xml><?xml version="1.0" encoding="utf-8"?>
<comments xmlns="http://schemas.openxmlformats.org/spreadsheetml/2006/main">
  <authors>
    <author>Gerhard Radinger</author>
  </authors>
  <commentList>
    <comment ref="J68" authorId="0" shapeId="0">
      <text>
        <r>
          <rPr>
            <b/>
            <sz val="8"/>
            <color indexed="81"/>
            <rFont val="Tahoma"/>
            <family val="2"/>
          </rPr>
          <t>Gerhard Radinger:</t>
        </r>
        <r>
          <rPr>
            <sz val="8"/>
            <color indexed="81"/>
            <rFont val="Tahoma"/>
            <family val="2"/>
          </rPr>
          <t xml:space="preserve">
Zinsaufwand mit Zinsertrag saldiert</t>
        </r>
      </text>
    </comment>
    <comment ref="I70" authorId="0" shapeId="0">
      <text>
        <r>
          <rPr>
            <b/>
            <sz val="8"/>
            <color indexed="81"/>
            <rFont val="Tahoma"/>
            <family val="2"/>
          </rPr>
          <t>Gerhard Radinger:</t>
        </r>
        <r>
          <rPr>
            <sz val="8"/>
            <color indexed="81"/>
            <rFont val="Tahoma"/>
            <family val="2"/>
          </rPr>
          <t xml:space="preserve">
EBIT = JÜ + Zinsen + Steuern +/- evtl. ao. Positionen
</t>
        </r>
        <r>
          <rPr>
            <b/>
            <sz val="8"/>
            <color indexed="81"/>
            <rFont val="Tahoma"/>
            <family val="2"/>
          </rPr>
          <t>=&gt; entspricht dem "alten" Betriebsergebnis der Seite I B 4</t>
        </r>
      </text>
    </comment>
  </commentList>
</comments>
</file>

<file path=xl/sharedStrings.xml><?xml version="1.0" encoding="utf-8"?>
<sst xmlns="http://schemas.openxmlformats.org/spreadsheetml/2006/main" count="751" uniqueCount="77">
  <si>
    <t>Umsatz</t>
  </si>
  <si>
    <t>Bewegungsbilanz</t>
  </si>
  <si>
    <t>MV</t>
  </si>
  <si>
    <t>MH</t>
  </si>
  <si>
    <t>JÜ</t>
  </si>
  <si>
    <t>Abschreibungen</t>
  </si>
  <si>
    <t>Cash Flow I</t>
  </si>
  <si>
    <t>Cash Flow II</t>
  </si>
  <si>
    <t>Netto-Finanzsaldo</t>
  </si>
  <si>
    <t>Cash Flow</t>
  </si>
  <si>
    <t>Veränderung flüssige Mittel</t>
  </si>
  <si>
    <t>Zinsaufwand</t>
  </si>
  <si>
    <t>FlüMi</t>
  </si>
  <si>
    <t>Eigenkapital</t>
  </si>
  <si>
    <t>Mio €</t>
  </si>
  <si>
    <t>Gesamtkapitalrentabilität / ROI</t>
  </si>
  <si>
    <t>EBIT</t>
  </si>
  <si>
    <t>Umsatzrentabilität</t>
  </si>
  <si>
    <t>Gesamtkapital</t>
  </si>
  <si>
    <t>Eigenkapital + lafri Fremdkapital</t>
  </si>
  <si>
    <t>Anlagevermögen</t>
  </si>
  <si>
    <t>FlüMi + Forderungen</t>
  </si>
  <si>
    <t>kufri Fremdkapital</t>
  </si>
  <si>
    <t>Schulden - FlüMi</t>
  </si>
  <si>
    <t>Kapitalflussrechnung</t>
  </si>
  <si>
    <t>Investitionen</t>
  </si>
  <si>
    <t>Jahresüberschuss</t>
  </si>
  <si>
    <t>Daten aus der GuV (TEURO):</t>
  </si>
  <si>
    <t>Summe AV:</t>
  </si>
  <si>
    <t>Läger</t>
  </si>
  <si>
    <t>Summe UV:</t>
  </si>
  <si>
    <t>AKTIVA:</t>
  </si>
  <si>
    <t>Summe EK:</t>
  </si>
  <si>
    <t>Summe LFK</t>
  </si>
  <si>
    <t>Summe KFK</t>
  </si>
  <si>
    <t>PASSIVA:</t>
  </si>
  <si>
    <t>Daten aus der Bilanz (TEURO):</t>
  </si>
  <si>
    <t>erhaltene Anzahlungen</t>
  </si>
  <si>
    <t>lafri finanzielle Verbindlichkeiten</t>
  </si>
  <si>
    <t>lafri RST, latente Steuern, RAP</t>
  </si>
  <si>
    <t>kufri Finanzschulden</t>
  </si>
  <si>
    <t>Kreditoren (Lieferg., Leistg, Sonstige)</t>
  </si>
  <si>
    <t>kufri Steuer u. RAP</t>
  </si>
  <si>
    <t>Forderungen u. RAP</t>
  </si>
  <si>
    <t>Zuf. lafri (RST + RAP + lat. Steuer)</t>
  </si>
  <si>
    <t>Zinsdeckungsquote (&gt;14)</t>
  </si>
  <si>
    <t>Cash Flow-Marge (&gt;8)</t>
  </si>
  <si>
    <t>Eigenkapitalquote (&gt;25)</t>
  </si>
  <si>
    <t>Dynam. Verschuldungsgrad (&lt;3)</t>
  </si>
  <si>
    <t>Liquiditätsgrad II (&gt;110)</t>
  </si>
  <si>
    <t>Anlagendeckungsgrad II (&gt;150)</t>
  </si>
  <si>
    <t>(&gt;15)*</t>
  </si>
  <si>
    <t>Zuf. lafri RST + RAP</t>
  </si>
  <si>
    <t>Bilanzsumme</t>
  </si>
  <si>
    <t>Cash Flow aus der Investitionstätigkeit (AV neu - AV alt + AfA)</t>
  </si>
  <si>
    <t>Cash Flow aus der laufenden Geschäftstätigkeit</t>
  </si>
  <si>
    <t>Cash Flow aus der Finanzierungstätigkeit</t>
  </si>
  <si>
    <t xml:space="preserve">* … Werte in () sind Richt-Sollwerte </t>
  </si>
  <si>
    <t>beispielhafter Finanzbericht</t>
  </si>
  <si>
    <t>Vorjahr</t>
  </si>
  <si>
    <t>Eigenkapitalquote</t>
  </si>
  <si>
    <t>Return on Investment</t>
  </si>
  <si>
    <t>Anlagendeckung I</t>
  </si>
  <si>
    <t>Anlagendeckung II</t>
  </si>
  <si>
    <t>Liquiditätsgrad II</t>
  </si>
  <si>
    <t>Working Capital</t>
  </si>
  <si>
    <t>Dynamischer Verschuldungsgrad</t>
  </si>
  <si>
    <t>Zielgröße</t>
  </si>
  <si>
    <t>&gt;25%</t>
  </si>
  <si>
    <t>&gt;7%</t>
  </si>
  <si>
    <t>&gt;15%</t>
  </si>
  <si>
    <t>&gt;70%</t>
  </si>
  <si>
    <t>&gt;150%</t>
  </si>
  <si>
    <t>&gt;110%</t>
  </si>
  <si>
    <t>&lt;3</t>
  </si>
  <si>
    <t>&gt;0</t>
  </si>
  <si>
    <t>Kennzahlen im Mehrjahresvergleich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</si>
</sst>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* #,##0.00\ _D_M_-;\-* #,##0.00\ _D_M_-;_-* &quot;-&quot;??\ _D_M_-;_-@_-"/>
    <numFmt numFmtId="165" formatCode="#,##0.0"/>
    <numFmt numFmtId="166" formatCode="0.0%"/>
    <numFmt numFmtId="167" formatCode="&quot;= &quot;#,##0.0"/>
    <numFmt numFmtId="168" formatCode="#,##0.0000"/>
    <numFmt numFmtId="169" formatCode="0.0"/>
  </numFmts>
  <fonts count="19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b/>
      <u/>
      <sz val="16"/>
      <name val="Arial"/>
      <family val="2"/>
    </font>
    <font>
      <b/>
      <i/>
      <sz val="10"/>
      <name val="Arial"/>
      <family val="2"/>
    </font>
    <font>
      <b/>
      <sz val="10"/>
      <color indexed="1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i/>
      <sz val="10"/>
      <name val="Arial"/>
      <family val="2"/>
    </font>
    <font>
      <b/>
      <sz val="10"/>
      <color indexed="10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5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163">
    <xf numFmtId="0" fontId="0" fillId="0" borderId="0" xfId="0"/>
    <xf numFmtId="3" fontId="3" fillId="0" borderId="0" xfId="0" applyNumberFormat="1" applyFont="1"/>
    <xf numFmtId="3" fontId="0" fillId="0" borderId="0" xfId="0" applyNumberFormat="1"/>
    <xf numFmtId="3" fontId="0" fillId="0" borderId="1" xfId="0" applyNumberFormat="1" applyBorder="1"/>
    <xf numFmtId="3" fontId="0" fillId="0" borderId="0" xfId="0" applyNumberFormat="1" applyBorder="1"/>
    <xf numFmtId="3" fontId="0" fillId="0" borderId="0" xfId="0" applyNumberFormat="1" applyFill="1" applyAlignment="1">
      <alignment horizontal="centerContinuous"/>
    </xf>
    <xf numFmtId="3" fontId="6" fillId="0" borderId="0" xfId="0" applyNumberFormat="1" applyFont="1" applyFill="1" applyAlignment="1">
      <alignment horizontal="centerContinuous"/>
    </xf>
    <xf numFmtId="3" fontId="3" fillId="0" borderId="0" xfId="0" applyNumberFormat="1" applyFont="1" applyFill="1" applyAlignment="1">
      <alignment horizontal="centerContinuous"/>
    </xf>
    <xf numFmtId="3" fontId="0" fillId="0" borderId="0" xfId="0" applyNumberFormat="1" applyFill="1"/>
    <xf numFmtId="3" fontId="0" fillId="0" borderId="2" xfId="0" applyNumberFormat="1" applyFill="1" applyBorder="1"/>
    <xf numFmtId="3" fontId="0" fillId="0" borderId="2" xfId="0" applyNumberFormat="1" applyFill="1" applyBorder="1" applyAlignment="1">
      <alignment horizontal="center"/>
    </xf>
    <xf numFmtId="3" fontId="0" fillId="0" borderId="1" xfId="0" applyNumberFormat="1" applyFill="1" applyBorder="1"/>
    <xf numFmtId="3" fontId="0" fillId="0" borderId="3" xfId="0" applyNumberFormat="1" applyFill="1" applyBorder="1"/>
    <xf numFmtId="3" fontId="0" fillId="0" borderId="4" xfId="0" applyNumberFormat="1" applyFill="1" applyBorder="1"/>
    <xf numFmtId="3" fontId="0" fillId="0" borderId="5" xfId="0" applyNumberFormat="1" applyFill="1" applyBorder="1"/>
    <xf numFmtId="3" fontId="0" fillId="0" borderId="6" xfId="0" applyNumberFormat="1" applyFill="1" applyBorder="1"/>
    <xf numFmtId="3" fontId="0" fillId="0" borderId="7" xfId="0" applyNumberFormat="1" applyFill="1" applyBorder="1"/>
    <xf numFmtId="3" fontId="0" fillId="0" borderId="0" xfId="0" applyNumberFormat="1" applyFill="1" applyBorder="1"/>
    <xf numFmtId="3" fontId="0" fillId="0" borderId="8" xfId="0" applyNumberFormat="1" applyFill="1" applyBorder="1" applyAlignment="1">
      <alignment horizontal="right"/>
    </xf>
    <xf numFmtId="3" fontId="0" fillId="0" borderId="0" xfId="0" applyNumberFormat="1" applyFill="1" applyBorder="1" applyAlignment="1">
      <alignment horizontal="centerContinuous"/>
    </xf>
    <xf numFmtId="3" fontId="0" fillId="0" borderId="9" xfId="0" applyNumberFormat="1" applyFill="1" applyBorder="1" applyAlignment="1">
      <alignment horizontal="centerContinuous"/>
    </xf>
    <xf numFmtId="3" fontId="2" fillId="0" borderId="2" xfId="0" applyNumberFormat="1" applyFont="1" applyFill="1" applyBorder="1" applyAlignment="1">
      <alignment horizontal="center"/>
    </xf>
    <xf numFmtId="3" fontId="0" fillId="0" borderId="8" xfId="0" applyNumberFormat="1" applyFill="1" applyBorder="1"/>
    <xf numFmtId="3" fontId="0" fillId="0" borderId="9" xfId="0" applyNumberFormat="1" applyFill="1" applyBorder="1"/>
    <xf numFmtId="3" fontId="0" fillId="0" borderId="10" xfId="0" applyNumberFormat="1" applyFill="1" applyBorder="1"/>
    <xf numFmtId="3" fontId="0" fillId="0" borderId="11" xfId="0" applyNumberFormat="1" applyFill="1" applyBorder="1"/>
    <xf numFmtId="3" fontId="0" fillId="0" borderId="4" xfId="0" quotePrefix="1" applyNumberFormat="1" applyFill="1" applyBorder="1"/>
    <xf numFmtId="3" fontId="0" fillId="0" borderId="12" xfId="0" applyNumberFormat="1" applyFill="1" applyBorder="1"/>
    <xf numFmtId="3" fontId="0" fillId="0" borderId="13" xfId="0" applyNumberFormat="1" applyFill="1" applyBorder="1"/>
    <xf numFmtId="3" fontId="0" fillId="0" borderId="14" xfId="0" applyNumberFormat="1" applyFill="1" applyBorder="1"/>
    <xf numFmtId="3" fontId="0" fillId="0" borderId="0" xfId="0" applyNumberFormat="1" applyFill="1" applyBorder="1" applyAlignment="1">
      <alignment horizontal="center"/>
    </xf>
    <xf numFmtId="3" fontId="7" fillId="0" borderId="0" xfId="0" applyNumberFormat="1" applyFont="1" applyFill="1" applyBorder="1" applyAlignment="1">
      <alignment horizontal="center"/>
    </xf>
    <xf numFmtId="3" fontId="0" fillId="0" borderId="0" xfId="0" applyNumberFormat="1" applyFill="1" applyBorder="1" applyAlignment="1">
      <alignment horizontal="right"/>
    </xf>
    <xf numFmtId="3" fontId="0" fillId="0" borderId="15" xfId="0" applyNumberFormat="1" applyFill="1" applyBorder="1"/>
    <xf numFmtId="3" fontId="0" fillId="0" borderId="16" xfId="0" applyNumberFormat="1" applyFill="1" applyBorder="1"/>
    <xf numFmtId="3" fontId="0" fillId="0" borderId="17" xfId="0" applyNumberFormat="1" applyFill="1" applyBorder="1"/>
    <xf numFmtId="3" fontId="0" fillId="0" borderId="18" xfId="0" applyNumberFormat="1" applyFill="1" applyBorder="1"/>
    <xf numFmtId="3" fontId="7" fillId="0" borderId="0" xfId="0" applyNumberFormat="1" applyFont="1" applyFill="1" applyBorder="1"/>
    <xf numFmtId="3" fontId="0" fillId="0" borderId="19" xfId="0" applyNumberFormat="1" applyFill="1" applyBorder="1"/>
    <xf numFmtId="3" fontId="1" fillId="0" borderId="3" xfId="0" applyNumberFormat="1" applyFont="1" applyFill="1" applyBorder="1"/>
    <xf numFmtId="3" fontId="0" fillId="0" borderId="4" xfId="0" applyNumberFormat="1" applyFill="1" applyBorder="1" applyAlignment="1">
      <alignment horizontal="center"/>
    </xf>
    <xf numFmtId="3" fontId="0" fillId="0" borderId="9" xfId="0" applyNumberFormat="1" applyFill="1" applyBorder="1" applyAlignment="1">
      <alignment horizontal="center"/>
    </xf>
    <xf numFmtId="3" fontId="1" fillId="0" borderId="4" xfId="0" applyNumberFormat="1" applyFont="1" applyFill="1" applyBorder="1"/>
    <xf numFmtId="3" fontId="3" fillId="0" borderId="0" xfId="0" applyNumberFormat="1" applyFont="1" applyFill="1" applyBorder="1" applyAlignment="1">
      <alignment horizontal="center"/>
    </xf>
    <xf numFmtId="3" fontId="0" fillId="0" borderId="9" xfId="0" applyNumberFormat="1" applyFill="1" applyBorder="1" applyAlignment="1">
      <alignment horizontal="left"/>
    </xf>
    <xf numFmtId="3" fontId="6" fillId="0" borderId="1" xfId="0" applyNumberFormat="1" applyFont="1" applyFill="1" applyBorder="1" applyAlignment="1">
      <alignment horizontal="center"/>
    </xf>
    <xf numFmtId="3" fontId="0" fillId="0" borderId="4" xfId="0" applyNumberFormat="1" applyFill="1" applyBorder="1" applyAlignment="1">
      <alignment horizontal="right"/>
    </xf>
    <xf numFmtId="3" fontId="4" fillId="0" borderId="3" xfId="0" applyNumberFormat="1" applyFont="1" applyFill="1" applyBorder="1" applyAlignment="1">
      <alignment horizontal="centerContinuous"/>
    </xf>
    <xf numFmtId="3" fontId="0" fillId="0" borderId="1" xfId="0" applyNumberFormat="1" applyFill="1" applyBorder="1" applyAlignment="1">
      <alignment horizontal="centerContinuous"/>
    </xf>
    <xf numFmtId="3" fontId="0" fillId="0" borderId="15" xfId="0" applyNumberFormat="1" applyFill="1" applyBorder="1" applyAlignment="1">
      <alignment horizontal="centerContinuous"/>
    </xf>
    <xf numFmtId="3" fontId="4" fillId="0" borderId="4" xfId="0" applyNumberFormat="1" applyFont="1" applyFill="1" applyBorder="1" applyAlignment="1">
      <alignment horizontal="centerContinuous"/>
    </xf>
    <xf numFmtId="3" fontId="1" fillId="0" borderId="4" xfId="0" applyNumberFormat="1" applyFont="1" applyFill="1" applyBorder="1" applyAlignment="1">
      <alignment horizontal="center"/>
    </xf>
    <xf numFmtId="3" fontId="1" fillId="0" borderId="0" xfId="0" applyNumberFormat="1" applyFont="1" applyFill="1" applyBorder="1" applyAlignment="1">
      <alignment horizontal="center"/>
    </xf>
    <xf numFmtId="3" fontId="5" fillId="0" borderId="3" xfId="0" applyNumberFormat="1" applyFont="1" applyFill="1" applyBorder="1"/>
    <xf numFmtId="3" fontId="0" fillId="0" borderId="15" xfId="0" applyNumberFormat="1" applyBorder="1"/>
    <xf numFmtId="3" fontId="8" fillId="0" borderId="0" xfId="0" applyNumberFormat="1" applyFont="1" applyFill="1" applyAlignment="1">
      <alignment horizontal="centerContinuous"/>
    </xf>
    <xf numFmtId="3" fontId="6" fillId="0" borderId="0" xfId="0" applyNumberFormat="1" applyFont="1"/>
    <xf numFmtId="3" fontId="6" fillId="0" borderId="4" xfId="0" applyNumberFormat="1" applyFont="1" applyFill="1" applyBorder="1"/>
    <xf numFmtId="3" fontId="6" fillId="0" borderId="20" xfId="0" applyNumberFormat="1" applyFont="1" applyFill="1" applyBorder="1"/>
    <xf numFmtId="3" fontId="0" fillId="0" borderId="21" xfId="0" applyNumberFormat="1" applyFill="1" applyBorder="1"/>
    <xf numFmtId="166" fontId="0" fillId="0" borderId="19" xfId="0" applyNumberFormat="1" applyFill="1" applyBorder="1" applyAlignment="1">
      <alignment horizontal="center"/>
    </xf>
    <xf numFmtId="4" fontId="0" fillId="0" borderId="0" xfId="0" applyNumberFormat="1"/>
    <xf numFmtId="168" fontId="0" fillId="0" borderId="0" xfId="0" applyNumberFormat="1"/>
    <xf numFmtId="165" fontId="0" fillId="0" borderId="19" xfId="0" applyNumberFormat="1" applyFill="1" applyBorder="1" applyAlignment="1">
      <alignment horizontal="center"/>
    </xf>
    <xf numFmtId="3" fontId="1" fillId="0" borderId="0" xfId="0" applyNumberFormat="1" applyFont="1" applyBorder="1"/>
    <xf numFmtId="3" fontId="0" fillId="0" borderId="0" xfId="0" applyNumberFormat="1" applyBorder="1" applyAlignment="1">
      <alignment horizontal="center"/>
    </xf>
    <xf numFmtId="3" fontId="0" fillId="0" borderId="0" xfId="0" quotePrefix="1" applyNumberFormat="1" applyBorder="1" applyAlignment="1">
      <alignment horizontal="center"/>
    </xf>
    <xf numFmtId="166" fontId="2" fillId="0" borderId="0" xfId="2" applyNumberFormat="1" applyBorder="1"/>
    <xf numFmtId="3" fontId="0" fillId="0" borderId="0" xfId="0" applyNumberFormat="1" applyBorder="1" applyAlignment="1">
      <alignment horizontal="right"/>
    </xf>
    <xf numFmtId="3" fontId="0" fillId="0" borderId="0" xfId="0" quotePrefix="1" applyNumberFormat="1" applyBorder="1"/>
    <xf numFmtId="3" fontId="0" fillId="0" borderId="0" xfId="0" quotePrefix="1" applyNumberFormat="1" applyBorder="1" applyAlignment="1">
      <alignment horizontal="right"/>
    </xf>
    <xf numFmtId="167" fontId="2" fillId="0" borderId="0" xfId="1" applyNumberFormat="1" applyBorder="1" applyAlignment="1">
      <alignment horizontal="center"/>
    </xf>
    <xf numFmtId="3" fontId="9" fillId="0" borderId="0" xfId="0" applyNumberFormat="1" applyFont="1"/>
    <xf numFmtId="3" fontId="6" fillId="0" borderId="22" xfId="0" applyNumberFormat="1" applyFont="1" applyFill="1" applyBorder="1"/>
    <xf numFmtId="3" fontId="6" fillId="0" borderId="18" xfId="0" applyNumberFormat="1" applyFont="1" applyFill="1" applyBorder="1"/>
    <xf numFmtId="3" fontId="6" fillId="0" borderId="19" xfId="0" applyNumberFormat="1" applyFont="1" applyFill="1" applyBorder="1"/>
    <xf numFmtId="3" fontId="14" fillId="0" borderId="0" xfId="0" applyNumberFormat="1" applyFont="1" applyAlignment="1">
      <alignment horizontal="center"/>
    </xf>
    <xf numFmtId="165" fontId="0" fillId="0" borderId="22" xfId="0" applyNumberFormat="1" applyFill="1" applyBorder="1" applyAlignment="1">
      <alignment horizontal="center"/>
    </xf>
    <xf numFmtId="1" fontId="0" fillId="0" borderId="23" xfId="0" quotePrefix="1" applyNumberFormat="1" applyFill="1" applyBorder="1" applyAlignment="1">
      <alignment horizontal="right"/>
    </xf>
    <xf numFmtId="3" fontId="4" fillId="0" borderId="6" xfId="0" applyNumberFormat="1" applyFont="1" applyFill="1" applyBorder="1"/>
    <xf numFmtId="3" fontId="4" fillId="0" borderId="7" xfId="0" applyNumberFormat="1" applyFont="1" applyFill="1" applyBorder="1"/>
    <xf numFmtId="3" fontId="4" fillId="0" borderId="24" xfId="0" applyNumberFormat="1" applyFont="1" applyFill="1" applyBorder="1"/>
    <xf numFmtId="1" fontId="4" fillId="0" borderId="23" xfId="0" applyNumberFormat="1" applyFont="1" applyFill="1" applyBorder="1" applyAlignment="1">
      <alignment horizontal="center"/>
    </xf>
    <xf numFmtId="1" fontId="4" fillId="0" borderId="24" xfId="0" applyNumberFormat="1" applyFont="1" applyFill="1" applyBorder="1" applyAlignment="1">
      <alignment horizontal="center"/>
    </xf>
    <xf numFmtId="3" fontId="9" fillId="0" borderId="4" xfId="0" applyNumberFormat="1" applyFont="1" applyFill="1" applyBorder="1"/>
    <xf numFmtId="3" fontId="9" fillId="0" borderId="0" xfId="0" applyNumberFormat="1" applyFont="1" applyFill="1" applyBorder="1"/>
    <xf numFmtId="3" fontId="9" fillId="0" borderId="25" xfId="0" applyNumberFormat="1" applyFont="1" applyFill="1" applyBorder="1" applyAlignment="1">
      <alignment horizontal="center"/>
    </xf>
    <xf numFmtId="3" fontId="9" fillId="0" borderId="9" xfId="0" applyNumberFormat="1" applyFont="1" applyFill="1" applyBorder="1" applyAlignment="1">
      <alignment horizontal="center"/>
    </xf>
    <xf numFmtId="3" fontId="0" fillId="0" borderId="25" xfId="0" applyNumberFormat="1" applyFill="1" applyBorder="1" applyAlignment="1">
      <alignment horizontal="center"/>
    </xf>
    <xf numFmtId="3" fontId="4" fillId="0" borderId="23" xfId="0" applyNumberFormat="1" applyFont="1" applyFill="1" applyBorder="1" applyAlignment="1">
      <alignment horizontal="center"/>
    </xf>
    <xf numFmtId="3" fontId="4" fillId="0" borderId="24" xfId="0" applyNumberFormat="1" applyFont="1" applyFill="1" applyBorder="1" applyAlignment="1">
      <alignment horizontal="center"/>
    </xf>
    <xf numFmtId="3" fontId="10" fillId="0" borderId="26" xfId="0" applyNumberFormat="1" applyFont="1" applyFill="1" applyBorder="1" applyAlignment="1">
      <alignment horizontal="center"/>
    </xf>
    <xf numFmtId="1" fontId="6" fillId="0" borderId="23" xfId="0" applyNumberFormat="1" applyFont="1" applyFill="1" applyBorder="1" applyAlignment="1">
      <alignment horizontal="center"/>
    </xf>
    <xf numFmtId="1" fontId="6" fillId="0" borderId="24" xfId="0" applyNumberFormat="1" applyFont="1" applyFill="1" applyBorder="1" applyAlignment="1">
      <alignment horizontal="center"/>
    </xf>
    <xf numFmtId="3" fontId="13" fillId="0" borderId="3" xfId="0" applyNumberFormat="1" applyFont="1" applyFill="1" applyBorder="1"/>
    <xf numFmtId="3" fontId="0" fillId="0" borderId="27" xfId="0" applyNumberFormat="1" applyFill="1" applyBorder="1" applyAlignment="1">
      <alignment horizontal="center"/>
    </xf>
    <xf numFmtId="3" fontId="0" fillId="0" borderId="15" xfId="0" applyNumberFormat="1" applyFill="1" applyBorder="1" applyAlignment="1">
      <alignment horizontal="center"/>
    </xf>
    <xf numFmtId="3" fontId="13" fillId="0" borderId="4" xfId="0" applyNumberFormat="1" applyFont="1" applyFill="1" applyBorder="1"/>
    <xf numFmtId="3" fontId="13" fillId="0" borderId="22" xfId="0" applyNumberFormat="1" applyFont="1" applyFill="1" applyBorder="1"/>
    <xf numFmtId="3" fontId="0" fillId="0" borderId="19" xfId="0" applyNumberFormat="1" applyFill="1" applyBorder="1" applyAlignment="1">
      <alignment horizontal="center"/>
    </xf>
    <xf numFmtId="3" fontId="0" fillId="0" borderId="26" xfId="0" applyNumberFormat="1" applyFill="1" applyBorder="1" applyAlignment="1">
      <alignment horizontal="center"/>
    </xf>
    <xf numFmtId="3" fontId="0" fillId="0" borderId="22" xfId="0" applyNumberFormat="1" applyFill="1" applyBorder="1"/>
    <xf numFmtId="3" fontId="0" fillId="0" borderId="27" xfId="0" applyNumberFormat="1" applyFill="1" applyBorder="1"/>
    <xf numFmtId="3" fontId="0" fillId="0" borderId="26" xfId="0" applyNumberFormat="1" applyFill="1" applyBorder="1"/>
    <xf numFmtId="166" fontId="2" fillId="0" borderId="22" xfId="2" applyNumberFormat="1" applyFill="1" applyBorder="1" applyAlignment="1">
      <alignment horizontal="center"/>
    </xf>
    <xf numFmtId="166" fontId="2" fillId="0" borderId="19" xfId="2" applyNumberFormat="1" applyFill="1" applyBorder="1" applyAlignment="1">
      <alignment horizontal="center"/>
    </xf>
    <xf numFmtId="166" fontId="2" fillId="0" borderId="18" xfId="2" applyNumberFormat="1" applyFill="1" applyBorder="1" applyAlignment="1">
      <alignment horizontal="center"/>
    </xf>
    <xf numFmtId="49" fontId="0" fillId="0" borderId="4" xfId="0" applyNumberFormat="1" applyFill="1" applyBorder="1" applyAlignment="1">
      <alignment horizontal="center"/>
    </xf>
    <xf numFmtId="49" fontId="0" fillId="0" borderId="9" xfId="0" applyNumberFormat="1" applyFill="1" applyBorder="1" applyAlignment="1">
      <alignment horizontal="center"/>
    </xf>
    <xf numFmtId="49" fontId="0" fillId="0" borderId="0" xfId="0" applyNumberFormat="1" applyFill="1" applyBorder="1" applyAlignment="1">
      <alignment horizontal="center"/>
    </xf>
    <xf numFmtId="49" fontId="6" fillId="0" borderId="4" xfId="0" applyNumberFormat="1" applyFont="1" applyFill="1" applyBorder="1" applyAlignment="1">
      <alignment horizontal="left"/>
    </xf>
    <xf numFmtId="3" fontId="16" fillId="0" borderId="0" xfId="0" applyNumberFormat="1" applyFont="1" applyFill="1"/>
    <xf numFmtId="3" fontId="0" fillId="2" borderId="25" xfId="0" applyNumberFormat="1" applyFill="1" applyBorder="1" applyAlignment="1">
      <alignment horizontal="center"/>
    </xf>
    <xf numFmtId="0" fontId="0" fillId="2" borderId="0" xfId="0" applyFill="1"/>
    <xf numFmtId="0" fontId="17" fillId="2" borderId="0" xfId="0" applyFont="1" applyFill="1"/>
    <xf numFmtId="0" fontId="0" fillId="2" borderId="28" xfId="0" applyFill="1" applyBorder="1"/>
    <xf numFmtId="0" fontId="1" fillId="2" borderId="29" xfId="0" applyFont="1" applyFill="1" applyBorder="1"/>
    <xf numFmtId="0" fontId="1" fillId="2" borderId="30" xfId="0" applyFont="1" applyFill="1" applyBorder="1"/>
    <xf numFmtId="0" fontId="1" fillId="2" borderId="31" xfId="0" applyFont="1" applyFill="1" applyBorder="1"/>
    <xf numFmtId="0" fontId="1" fillId="2" borderId="32" xfId="0" applyFont="1" applyFill="1" applyBorder="1"/>
    <xf numFmtId="10" fontId="18" fillId="2" borderId="0" xfId="2" applyNumberFormat="1" applyFont="1" applyFill="1"/>
    <xf numFmtId="10" fontId="1" fillId="3" borderId="33" xfId="2" applyNumberFormat="1" applyFont="1" applyFill="1" applyBorder="1" applyAlignment="1">
      <alignment horizontal="center"/>
    </xf>
    <xf numFmtId="10" fontId="2" fillId="3" borderId="34" xfId="2" applyNumberFormat="1" applyFont="1" applyFill="1" applyBorder="1" applyAlignment="1">
      <alignment horizontal="center"/>
    </xf>
    <xf numFmtId="10" fontId="18" fillId="3" borderId="35" xfId="2" applyNumberFormat="1" applyFont="1" applyFill="1" applyBorder="1"/>
    <xf numFmtId="10" fontId="18" fillId="3" borderId="36" xfId="2" applyNumberFormat="1" applyFont="1" applyFill="1" applyBorder="1"/>
    <xf numFmtId="10" fontId="18" fillId="3" borderId="37" xfId="2" applyNumberFormat="1" applyFont="1" applyFill="1" applyBorder="1"/>
    <xf numFmtId="0" fontId="1" fillId="4" borderId="38" xfId="0" applyFont="1" applyFill="1" applyBorder="1" applyAlignment="1">
      <alignment horizontal="center"/>
    </xf>
    <xf numFmtId="0" fontId="2" fillId="4" borderId="39" xfId="0" applyFont="1" applyFill="1" applyBorder="1" applyAlignment="1">
      <alignment horizontal="center"/>
    </xf>
    <xf numFmtId="10" fontId="18" fillId="4" borderId="40" xfId="2" applyNumberFormat="1" applyFont="1" applyFill="1" applyBorder="1"/>
    <xf numFmtId="10" fontId="18" fillId="4" borderId="41" xfId="2" applyNumberFormat="1" applyFont="1" applyFill="1" applyBorder="1"/>
    <xf numFmtId="10" fontId="18" fillId="4" borderId="42" xfId="2" applyNumberFormat="1" applyFont="1" applyFill="1" applyBorder="1"/>
    <xf numFmtId="169" fontId="0" fillId="4" borderId="40" xfId="0" applyNumberFormat="1" applyFill="1" applyBorder="1"/>
    <xf numFmtId="169" fontId="0" fillId="4" borderId="41" xfId="0" applyNumberFormat="1" applyFill="1" applyBorder="1"/>
    <xf numFmtId="169" fontId="0" fillId="4" borderId="42" xfId="0" applyNumberFormat="1" applyFill="1" applyBorder="1"/>
    <xf numFmtId="0" fontId="1" fillId="4" borderId="43" xfId="0" applyFont="1" applyFill="1" applyBorder="1" applyAlignment="1">
      <alignment horizontal="center"/>
    </xf>
    <xf numFmtId="0" fontId="2" fillId="4" borderId="44" xfId="0" applyFont="1" applyFill="1" applyBorder="1" applyAlignment="1">
      <alignment horizontal="center"/>
    </xf>
    <xf numFmtId="3" fontId="0" fillId="4" borderId="45" xfId="0" applyNumberFormat="1" applyFill="1" applyBorder="1"/>
    <xf numFmtId="3" fontId="0" fillId="4" borderId="46" xfId="0" applyNumberFormat="1" applyFill="1" applyBorder="1"/>
    <xf numFmtId="3" fontId="0" fillId="4" borderId="47" xfId="0" applyNumberFormat="1" applyFill="1" applyBorder="1"/>
    <xf numFmtId="0" fontId="1" fillId="3" borderId="38" xfId="0" applyFont="1" applyFill="1" applyBorder="1" applyAlignment="1">
      <alignment horizontal="center"/>
    </xf>
    <xf numFmtId="0" fontId="2" fillId="3" borderId="39" xfId="0" applyFont="1" applyFill="1" applyBorder="1" applyAlignment="1">
      <alignment horizontal="center"/>
    </xf>
    <xf numFmtId="10" fontId="18" fillId="3" borderId="40" xfId="2" applyNumberFormat="1" applyFont="1" applyFill="1" applyBorder="1"/>
    <xf numFmtId="10" fontId="18" fillId="3" borderId="41" xfId="2" applyNumberFormat="1" applyFont="1" applyFill="1" applyBorder="1"/>
    <xf numFmtId="10" fontId="18" fillId="3" borderId="42" xfId="2" applyNumberFormat="1" applyFont="1" applyFill="1" applyBorder="1"/>
    <xf numFmtId="9" fontId="2" fillId="3" borderId="39" xfId="0" applyNumberFormat="1" applyFont="1" applyFill="1" applyBorder="1" applyAlignment="1">
      <alignment horizontal="center"/>
    </xf>
    <xf numFmtId="3" fontId="0" fillId="3" borderId="40" xfId="0" applyNumberFormat="1" applyFill="1" applyBorder="1"/>
    <xf numFmtId="3" fontId="0" fillId="3" borderId="41" xfId="0" applyNumberFormat="1" applyFill="1" applyBorder="1"/>
    <xf numFmtId="3" fontId="0" fillId="3" borderId="42" xfId="0" applyNumberFormat="1" applyFill="1" applyBorder="1"/>
    <xf numFmtId="3" fontId="9" fillId="0" borderId="18" xfId="0" applyNumberFormat="1" applyFont="1" applyBorder="1" applyAlignment="1">
      <alignment horizontal="center"/>
    </xf>
    <xf numFmtId="3" fontId="6" fillId="0" borderId="3" xfId="0" applyNumberFormat="1" applyFont="1" applyFill="1" applyBorder="1" applyAlignment="1">
      <alignment horizontal="center"/>
    </xf>
    <xf numFmtId="3" fontId="6" fillId="0" borderId="1" xfId="0" applyNumberFormat="1" applyFont="1" applyFill="1" applyBorder="1" applyAlignment="1">
      <alignment horizontal="center"/>
    </xf>
    <xf numFmtId="3" fontId="6" fillId="0" borderId="15" xfId="0" applyNumberFormat="1" applyFont="1" applyFill="1" applyBorder="1" applyAlignment="1">
      <alignment horizontal="center"/>
    </xf>
    <xf numFmtId="3" fontId="0" fillId="0" borderId="48" xfId="0" applyNumberFormat="1" applyFill="1" applyBorder="1" applyAlignment="1">
      <alignment horizontal="center"/>
    </xf>
    <xf numFmtId="3" fontId="0" fillId="0" borderId="20" xfId="0" applyNumberFormat="1" applyFill="1" applyBorder="1" applyAlignment="1">
      <alignment horizontal="center"/>
    </xf>
    <xf numFmtId="3" fontId="0" fillId="0" borderId="49" xfId="0" applyNumberFormat="1" applyFill="1" applyBorder="1" applyAlignment="1">
      <alignment horizontal="center"/>
    </xf>
    <xf numFmtId="3" fontId="0" fillId="0" borderId="16" xfId="0" applyNumberFormat="1" applyFill="1" applyBorder="1" applyAlignment="1">
      <alignment horizontal="center"/>
    </xf>
    <xf numFmtId="3" fontId="0" fillId="0" borderId="2" xfId="0" applyNumberFormat="1" applyFill="1" applyBorder="1" applyAlignment="1">
      <alignment horizontal="center"/>
    </xf>
    <xf numFmtId="3" fontId="0" fillId="0" borderId="17" xfId="0" applyNumberFormat="1" applyFill="1" applyBorder="1" applyAlignment="1">
      <alignment horizontal="center"/>
    </xf>
    <xf numFmtId="0" fontId="0" fillId="0" borderId="1" xfId="0" applyBorder="1"/>
    <xf numFmtId="0" fontId="0" fillId="0" borderId="15" xfId="0" applyBorder="1"/>
    <xf numFmtId="3" fontId="1" fillId="0" borderId="3" xfId="0" applyNumberFormat="1" applyFont="1" applyFill="1" applyBorder="1" applyAlignment="1">
      <alignment horizontal="center"/>
    </xf>
    <xf numFmtId="3" fontId="1" fillId="0" borderId="1" xfId="0" applyNumberFormat="1" applyFont="1" applyFill="1" applyBorder="1" applyAlignment="1">
      <alignment horizontal="center"/>
    </xf>
    <xf numFmtId="3" fontId="1" fillId="0" borderId="15" xfId="0" applyNumberFormat="1" applyFont="1" applyFill="1" applyBorder="1" applyAlignment="1">
      <alignment horizontal="center"/>
    </xf>
  </cellXfs>
  <cellStyles count="3">
    <cellStyle name="Komma" xfId="1" builtinId="3"/>
    <cellStyle name="Prozent" xfId="2" builtinId="5"/>
    <cellStyle name="Standard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15"/>
  <sheetViews>
    <sheetView tabSelected="1" workbookViewId="0">
      <selection activeCell="A3" sqref="A3"/>
    </sheetView>
  </sheetViews>
  <sheetFormatPr baseColWidth="10" defaultRowHeight="12.75" x14ac:dyDescent="0.2"/>
  <cols>
    <col min="1" max="1" width="31.42578125" style="113" customWidth="1"/>
    <col min="2" max="2" width="10" style="113" customWidth="1"/>
    <col min="3" max="16384" width="11.42578125" style="113"/>
  </cols>
  <sheetData>
    <row r="2" spans="1:12" ht="18" x14ac:dyDescent="0.25">
      <c r="A2" s="114" t="s">
        <v>76</v>
      </c>
    </row>
    <row r="4" spans="1:12" ht="13.5" thickBot="1" x14ac:dyDescent="0.25"/>
    <row r="5" spans="1:12" x14ac:dyDescent="0.2">
      <c r="A5" s="115"/>
      <c r="B5" s="116" t="s">
        <v>67</v>
      </c>
      <c r="C5" s="117">
        <v>2002</v>
      </c>
      <c r="D5" s="118">
        <v>2003</v>
      </c>
      <c r="E5" s="118">
        <v>2004</v>
      </c>
      <c r="F5" s="118">
        <v>2005</v>
      </c>
      <c r="G5" s="118">
        <v>2006</v>
      </c>
      <c r="H5" s="118">
        <v>2007</v>
      </c>
      <c r="I5" s="118">
        <v>2008</v>
      </c>
      <c r="J5" s="118">
        <v>2009</v>
      </c>
      <c r="K5" s="118">
        <v>2010</v>
      </c>
      <c r="L5" s="119">
        <v>2011</v>
      </c>
    </row>
    <row r="6" spans="1:12" s="120" customFormat="1" x14ac:dyDescent="0.2">
      <c r="A6" s="121" t="s">
        <v>60</v>
      </c>
      <c r="B6" s="122" t="s">
        <v>68</v>
      </c>
      <c r="C6" s="123">
        <f>'Finanzbericht 2002'!$K$47</f>
        <v>0</v>
      </c>
      <c r="D6" s="124">
        <f>'Finanzbericht 2003'!$K$47</f>
        <v>0</v>
      </c>
      <c r="E6" s="124">
        <f>'Finanzbericht 2004'!$K$47</f>
        <v>0.15834025514606206</v>
      </c>
      <c r="F6" s="124">
        <f>'Finanzbericht 2005'!$K$47</f>
        <v>0.24855163667921881</v>
      </c>
      <c r="G6" s="124">
        <f>'Finanzbericht 2006'!$K$47</f>
        <v>0.34614035405050803</v>
      </c>
      <c r="H6" s="124">
        <f>'Finanzbericht 2007'!$K$47</f>
        <v>0.26544822827065584</v>
      </c>
      <c r="I6" s="124">
        <f>'Finanzbericht 2008'!$K$47</f>
        <v>0.23616751087772767</v>
      </c>
      <c r="J6" s="124">
        <f>'Finanzbericht 2009'!$K$47</f>
        <v>0.20815566015966522</v>
      </c>
      <c r="K6" s="124">
        <f>'Finanzbericht 2010'!$K$47</f>
        <v>0.23058728566859166</v>
      </c>
      <c r="L6" s="125">
        <f>'Finanzbericht 2011'!$K$47</f>
        <v>0.35922977103834275</v>
      </c>
    </row>
    <row r="7" spans="1:12" x14ac:dyDescent="0.2">
      <c r="A7" s="126" t="s">
        <v>17</v>
      </c>
      <c r="B7" s="127" t="s">
        <v>69</v>
      </c>
      <c r="C7" s="128">
        <f>'Finanzbericht 2002'!$K$38</f>
        <v>4.1751114678156412E-2</v>
      </c>
      <c r="D7" s="129">
        <f>'Finanzbericht 2003'!$K$38</f>
        <v>4.0233055144075977E-2</v>
      </c>
      <c r="E7" s="129">
        <f>'Finanzbericht 2004'!$K$38</f>
        <v>3.595204313790152E-2</v>
      </c>
      <c r="F7" s="129">
        <f>'Finanzbericht 2005'!$K$38</f>
        <v>2.5843276803884593E-2</v>
      </c>
      <c r="G7" s="129">
        <f>'Finanzbericht 2006'!$K$38</f>
        <v>1.8962336814740535E-2</v>
      </c>
      <c r="H7" s="129">
        <f>'Finanzbericht 2007'!$K$38</f>
        <v>9.7419053856630348E-3</v>
      </c>
      <c r="I7" s="129">
        <f>'Finanzbericht 2008'!$K$38</f>
        <v>-3.8776523217480117E-2</v>
      </c>
      <c r="J7" s="129">
        <f>'Finanzbericht 2009'!$K$38</f>
        <v>-4.5475810023780393E-2</v>
      </c>
      <c r="K7" s="129">
        <f>'Finanzbericht 2010'!$K$38</f>
        <v>3.8902684088966973E-2</v>
      </c>
      <c r="L7" s="130">
        <f>'Finanzbericht 2011'!$K$38</f>
        <v>0.10066159835176752</v>
      </c>
    </row>
    <row r="8" spans="1:12" x14ac:dyDescent="0.2">
      <c r="A8" s="139" t="s">
        <v>61</v>
      </c>
      <c r="B8" s="140" t="s">
        <v>70</v>
      </c>
      <c r="C8" s="141">
        <f>'Finanzbericht 2002'!$K$11</f>
        <v>0.11289324202024209</v>
      </c>
      <c r="D8" s="142">
        <f>'Finanzbericht 2003'!$K$11</f>
        <v>8.642173268072309E-2</v>
      </c>
      <c r="E8" s="142">
        <f>'Finanzbericht 2004'!$K$11</f>
        <v>8.4859155262004701E-2</v>
      </c>
      <c r="F8" s="142">
        <f>'Finanzbericht 2005'!$K$11</f>
        <v>7.1640125195547091E-2</v>
      </c>
      <c r="G8" s="142">
        <f>'Finanzbericht 2006'!$K$11</f>
        <v>4.4740873701076961E-2</v>
      </c>
      <c r="H8" s="142">
        <f>'Finanzbericht 2007'!$K$11</f>
        <v>1.6598014105040131E-2</v>
      </c>
      <c r="I8" s="142">
        <f>'Finanzbericht 2008'!$K$11</f>
        <v>-7.6541150416066017E-2</v>
      </c>
      <c r="J8" s="142">
        <f>'Finanzbericht 2009'!$K$11</f>
        <v>-8.9595107413322064E-2</v>
      </c>
      <c r="K8" s="142">
        <f>'Finanzbericht 2010'!$K$11</f>
        <v>8.2119466532002125E-2</v>
      </c>
      <c r="L8" s="143">
        <f>'Finanzbericht 2011'!$K$11</f>
        <v>0.25859125598775706</v>
      </c>
    </row>
    <row r="9" spans="1:12" x14ac:dyDescent="0.2">
      <c r="A9" s="126" t="s">
        <v>62</v>
      </c>
      <c r="B9" s="127" t="s">
        <v>71</v>
      </c>
      <c r="C9" s="128">
        <f>'Finanzbericht 2002'!$E$67/'Finanzbericht 2002'!$E$61</f>
        <v>0</v>
      </c>
      <c r="D9" s="129">
        <f>'Finanzbericht 2003'!$E$67/'Finanzbericht 2003'!$E$61</f>
        <v>0</v>
      </c>
      <c r="E9" s="129">
        <f>'Finanzbericht 2004'!$E$67/'Finanzbericht 2004'!$E$61</f>
        <v>0.56893001635652662</v>
      </c>
      <c r="F9" s="129">
        <f>'Finanzbericht 2005'!$E$67/'Finanzbericht 2005'!$E$61</f>
        <v>0.74184543319317275</v>
      </c>
      <c r="G9" s="129">
        <f>'Finanzbericht 2006'!$E$67/'Finanzbericht 2006'!$E$61</f>
        <v>0.92456225240370038</v>
      </c>
      <c r="H9" s="129">
        <f>'Finanzbericht 2007'!$E$67/'Finanzbericht 2007'!$E$61</f>
        <v>1.1043906629838069</v>
      </c>
      <c r="I9" s="129">
        <f>'Finanzbericht 2008'!$E$67/'Finanzbericht 2008'!$E$61</f>
        <v>0.78857214765695205</v>
      </c>
      <c r="J9" s="129">
        <f>'Finanzbericht 2009'!$E$67/'Finanzbericht 2009'!$E$61</f>
        <v>0.59446823513827007</v>
      </c>
      <c r="K9" s="129">
        <f>'Finanzbericht 2010'!$E$67/'Finanzbericht 2010'!$E$61</f>
        <v>0.79378609066966788</v>
      </c>
      <c r="L9" s="130">
        <f>'Finanzbericht 2011'!$E$67/'Finanzbericht 2011'!$E$61</f>
        <v>1.4365250117659447</v>
      </c>
    </row>
    <row r="10" spans="1:12" x14ac:dyDescent="0.2">
      <c r="A10" s="139" t="s">
        <v>63</v>
      </c>
      <c r="B10" s="140" t="s">
        <v>72</v>
      </c>
      <c r="C10" s="141">
        <f>'Finanzbericht 2002'!$K$56</f>
        <v>0.91284554094713888</v>
      </c>
      <c r="D10" s="142">
        <f>'Finanzbericht 2003'!$K$56</f>
        <v>1.0989444123834371</v>
      </c>
      <c r="E10" s="142">
        <f>'Finanzbericht 2004'!$K$56</f>
        <v>1.0495741836656609</v>
      </c>
      <c r="F10" s="142">
        <f>'Finanzbericht 2005'!$K$56</f>
        <v>1.3428475547517942</v>
      </c>
      <c r="G10" s="142">
        <f>'Finanzbericht 2006'!$K$56</f>
        <v>1.411915235990802</v>
      </c>
      <c r="H10" s="142">
        <f>'Finanzbericht 2007'!$K$56</f>
        <v>1.7043656621899468</v>
      </c>
      <c r="I10" s="142">
        <f>'Finanzbericht 2008'!$K$56</f>
        <v>1.3912488804022902</v>
      </c>
      <c r="J10" s="142">
        <f>'Finanzbericht 2009'!$K$56</f>
        <v>1.2839821955875674</v>
      </c>
      <c r="K10" s="142">
        <f>'Finanzbericht 2010'!$K$56</f>
        <v>1.5258790841151988</v>
      </c>
      <c r="L10" s="143">
        <f>'Finanzbericht 2011'!$K$56</f>
        <v>2.209366737462545</v>
      </c>
    </row>
    <row r="11" spans="1:12" x14ac:dyDescent="0.2">
      <c r="A11" s="126" t="s">
        <v>64</v>
      </c>
      <c r="B11" s="127" t="s">
        <v>73</v>
      </c>
      <c r="C11" s="128">
        <f>'Finanzbericht 2002'!$F$56</f>
        <v>0.74950236376964852</v>
      </c>
      <c r="D11" s="129">
        <f>'Finanzbericht 2003'!$F$56</f>
        <v>0.78758383429945078</v>
      </c>
      <c r="E11" s="129">
        <f>'Finanzbericht 2004'!$F$56</f>
        <v>0.66611104937751231</v>
      </c>
      <c r="F11" s="129">
        <f>'Finanzbericht 2005'!$F$56</f>
        <v>0.87148287917986456</v>
      </c>
      <c r="G11" s="129">
        <f>'Finanzbericht 2006'!$F$56</f>
        <v>1.0632629102447286</v>
      </c>
      <c r="H11" s="129">
        <f>'Finanzbericht 2007'!$F$56</f>
        <v>1.0510354584126644</v>
      </c>
      <c r="I11" s="129">
        <f>'Finanzbericht 2008'!$F$56</f>
        <v>0.69441605097969683</v>
      </c>
      <c r="J11" s="129">
        <f>'Finanzbericht 2009'!$F$56</f>
        <v>0.92723515125957667</v>
      </c>
      <c r="K11" s="129">
        <f>'Finanzbericht 2010'!$F$56</f>
        <v>1.025474693580672</v>
      </c>
      <c r="L11" s="130">
        <f>'Finanzbericht 2011'!$F$56</f>
        <v>1.3546394190337401</v>
      </c>
    </row>
    <row r="12" spans="1:12" x14ac:dyDescent="0.2">
      <c r="A12" s="139" t="s">
        <v>65</v>
      </c>
      <c r="B12" s="144">
        <v>0.2</v>
      </c>
      <c r="C12" s="141">
        <f>('Finanzbericht 2002'!$E$65-'Finanzbericht 2002'!$E$75)/'Finanzbericht 2002'!$E$65</f>
        <v>-1.4149322812278205E-2</v>
      </c>
      <c r="D12" s="142">
        <f>('Finanzbericht 2003'!$E$65-'Finanzbericht 2003'!$E$75)/'Finanzbericht 2003'!$E$65</f>
        <v>1.6381731127431208E-2</v>
      </c>
      <c r="E12" s="142">
        <f>('Finanzbericht 2004'!$E$65-'Finanzbericht 2004'!$E$75)/'Finanzbericht 2004'!$E$65</f>
        <v>1.9117838854863168E-2</v>
      </c>
      <c r="F12" s="142">
        <f>('Finanzbericht 2005'!$E$65-'Finanzbericht 2005'!$E$75)/'Finanzbericht 2005'!$E$65</f>
        <v>0.17274760288337848</v>
      </c>
      <c r="G12" s="142">
        <f>('Finanzbericht 2006'!$E$65-'Finanzbericht 2006'!$E$75)/'Finanzbericht 2006'!$E$65</f>
        <v>0.24649911428075486</v>
      </c>
      <c r="H12" s="142">
        <f>('Finanzbericht 2007'!$E$65-'Finanzbericht 2007'!$E$75)/'Finanzbericht 2007'!$E$65</f>
        <v>0.22286703991429124</v>
      </c>
      <c r="I12" s="142">
        <f>('Finanzbericht 2008'!$E$65-'Finanzbericht 2008'!$E$75)/'Finanzbericht 2008'!$E$65</f>
        <v>0.16726918650980757</v>
      </c>
      <c r="J12" s="142">
        <f>('Finanzbericht 2009'!$E$65-'Finanzbericht 2009'!$E$75)/'Finanzbericht 2009'!$E$65</f>
        <v>0.15301728502986192</v>
      </c>
      <c r="K12" s="142">
        <f>('Finanzbericht 2010'!$E$65-'Finanzbericht 2010'!$E$75)/'Finanzbericht 2010'!$E$65</f>
        <v>0.21530768446104395</v>
      </c>
      <c r="L12" s="143">
        <f>('Finanzbericht 2011'!$E$65-'Finanzbericht 2011'!$E$75)/'Finanzbericht 2011'!$E$65</f>
        <v>0.40326970711078042</v>
      </c>
    </row>
    <row r="13" spans="1:12" x14ac:dyDescent="0.2">
      <c r="A13" s="126" t="s">
        <v>66</v>
      </c>
      <c r="B13" s="127" t="s">
        <v>74</v>
      </c>
      <c r="C13" s="131">
        <f>'Finanzbericht 2002'!C56</f>
        <v>9.0249927034906943</v>
      </c>
      <c r="D13" s="132">
        <f>'Finanzbericht 2003'!C56</f>
        <v>4.5254603363135555</v>
      </c>
      <c r="E13" s="132">
        <f>'Finanzbericht 2004'!C56</f>
        <v>3.1099364412653925</v>
      </c>
      <c r="F13" s="132">
        <f>'Finanzbericht 2005'!C56</f>
        <v>5.8358229605321181</v>
      </c>
      <c r="G13" s="132">
        <f>'Finanzbericht 2006'!C56</f>
        <v>9.3421085616180264</v>
      </c>
      <c r="H13" s="132">
        <f>'Finanzbericht 2007'!C56</f>
        <v>16.677905168692316</v>
      </c>
      <c r="I13" s="132">
        <f>'Finanzbericht 2008'!C56</f>
        <v>-10.751590903547273</v>
      </c>
      <c r="J13" s="132">
        <f>'Finanzbericht 2009'!C56</f>
        <v>-12.831451997120006</v>
      </c>
      <c r="K13" s="132">
        <f>'Finanzbericht 2010'!C56</f>
        <v>8.2306777710366106</v>
      </c>
      <c r="L13" s="133">
        <f>'Finanzbericht 2011'!C56</f>
        <v>2.1294784673747689</v>
      </c>
    </row>
    <row r="14" spans="1:12" x14ac:dyDescent="0.2">
      <c r="A14" s="139" t="s">
        <v>6</v>
      </c>
      <c r="B14" s="140" t="s">
        <v>75</v>
      </c>
      <c r="C14" s="145">
        <f>'Finanzbericht 2002'!$F$30</f>
        <v>3437.73974</v>
      </c>
      <c r="D14" s="146">
        <f>'Finanzbericht 2003'!$F$30</f>
        <v>7043.5459999999994</v>
      </c>
      <c r="E14" s="146">
        <f>'Finanzbericht 2004'!$F$30</f>
        <v>12301.23137</v>
      </c>
      <c r="F14" s="146">
        <f>'Finanzbericht 2005'!$F$30</f>
        <v>4721.0937199999998</v>
      </c>
      <c r="G14" s="146">
        <f>'Finanzbericht 2006'!$F$30</f>
        <v>3020.3886600000001</v>
      </c>
      <c r="H14" s="146">
        <f>'Finanzbericht 2007'!$F$30</f>
        <v>2545.3323999999993</v>
      </c>
      <c r="I14" s="146">
        <f>'Finanzbericht 2008'!$F$30</f>
        <v>-3152.6706999999988</v>
      </c>
      <c r="J14" s="146">
        <f>'Finanzbericht 2009'!$F$30</f>
        <v>-1906.0769900000009</v>
      </c>
      <c r="K14" s="146">
        <f>'Finanzbericht 2010'!$F$30</f>
        <v>3451.0689800000009</v>
      </c>
      <c r="L14" s="147">
        <f>'Finanzbericht 2011'!$F$30</f>
        <v>12609.085379999999</v>
      </c>
    </row>
    <row r="15" spans="1:12" ht="13.5" thickBot="1" x14ac:dyDescent="0.25">
      <c r="A15" s="134" t="s">
        <v>7</v>
      </c>
      <c r="B15" s="135" t="s">
        <v>75</v>
      </c>
      <c r="C15" s="136">
        <f>'Finanzbericht 2002'!$F$38</f>
        <v>13032.911259999995</v>
      </c>
      <c r="D15" s="137">
        <f>'Finanzbericht 2003'!$F$38</f>
        <v>10980.565700000003</v>
      </c>
      <c r="E15" s="137">
        <f>'Finanzbericht 2004'!$F$38</f>
        <v>8701.320740000001</v>
      </c>
      <c r="F15" s="137">
        <f>'Finanzbericht 2005'!$F$38</f>
        <v>7275.9001999999928</v>
      </c>
      <c r="G15" s="137">
        <f>'Finanzbericht 2006'!$F$38</f>
        <v>2382.1416800000093</v>
      </c>
      <c r="H15" s="137">
        <f>'Finanzbericht 2007'!$F$38</f>
        <v>-11390.198700000001</v>
      </c>
      <c r="I15" s="137">
        <f>'Finanzbericht 2008'!$F$38</f>
        <v>5744.6583400000009</v>
      </c>
      <c r="J15" s="137">
        <f>'Finanzbericht 2009'!$F$38</f>
        <v>4178.7978299999977</v>
      </c>
      <c r="K15" s="137">
        <f>'Finanzbericht 2010'!$F$38</f>
        <v>749.28037999999833</v>
      </c>
      <c r="L15" s="138">
        <f>'Finanzbericht 2011'!$F$38</f>
        <v>11177.611050000001</v>
      </c>
    </row>
  </sheetData>
  <pageMargins left="0.31496062992125984" right="0.31496062992125984" top="0.78740157480314965" bottom="0.78740157480314965" header="0.31496062992125984" footer="0.31496062992125984"/>
  <pageSetup paperSize="9" scale="85" orientation="landscape" r:id="rId1"/>
  <headerFooter>
    <oddFooter>&amp;LZC/Stamm/&amp;Z&amp;F/&amp;F/&amp;A&amp;RS.&amp;P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Q127"/>
  <sheetViews>
    <sheetView showGridLines="0" topLeftCell="A46" zoomScale="110" zoomScaleNormal="110" workbookViewId="0">
      <selection activeCell="J77" sqref="J77"/>
    </sheetView>
  </sheetViews>
  <sheetFormatPr baseColWidth="10" defaultRowHeight="12.75" x14ac:dyDescent="0.2"/>
  <cols>
    <col min="1" max="1" width="11.7109375" style="2" customWidth="1"/>
    <col min="2" max="2" width="8.28515625" style="2" customWidth="1"/>
    <col min="3" max="3" width="11.85546875" style="2" customWidth="1"/>
    <col min="4" max="4" width="11.42578125" style="2"/>
    <col min="5" max="5" width="10.42578125" style="2" customWidth="1"/>
    <col min="6" max="6" width="9.42578125" style="2" customWidth="1"/>
    <col min="7" max="7" width="1.28515625" style="2" customWidth="1"/>
    <col min="8" max="8" width="3.42578125" style="2" customWidth="1"/>
    <col min="9" max="9" width="8.7109375" style="2" customWidth="1"/>
    <col min="10" max="10" width="10.5703125" style="2" customWidth="1"/>
    <col min="11" max="11" width="9.42578125" style="2" customWidth="1"/>
    <col min="12" max="16384" width="11.42578125" style="2"/>
  </cols>
  <sheetData>
    <row r="1" spans="1:17" ht="20.25" x14ac:dyDescent="0.3">
      <c r="A1" s="55" t="s">
        <v>58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pans="1:17" s="1" customFormat="1" x14ac:dyDescent="0.2">
      <c r="A2" s="6"/>
      <c r="B2" s="7"/>
      <c r="C2" s="7"/>
      <c r="D2" s="7"/>
      <c r="E2" s="7"/>
      <c r="F2" s="7"/>
      <c r="G2" s="7"/>
      <c r="H2" s="7"/>
      <c r="I2" s="7"/>
      <c r="J2" s="7"/>
      <c r="K2" s="7"/>
    </row>
    <row r="3" spans="1:17" s="1" customFormat="1" x14ac:dyDescent="0.2">
      <c r="A3" s="6"/>
      <c r="B3" s="7"/>
      <c r="C3" s="7"/>
      <c r="D3" s="7"/>
      <c r="E3" s="7"/>
      <c r="F3" s="7"/>
      <c r="G3" s="7"/>
      <c r="H3" s="7"/>
      <c r="I3" s="7"/>
      <c r="J3" s="7"/>
      <c r="K3" s="7"/>
      <c r="L3" s="76" t="str">
        <f>IF(C20=F20,"i.O.","Fehler!")</f>
        <v>i.O.</v>
      </c>
    </row>
    <row r="4" spans="1:17" ht="13.5" thickBot="1" x14ac:dyDescent="0.25">
      <c r="A4" s="8"/>
      <c r="B4" s="8"/>
      <c r="C4" s="8"/>
      <c r="D4" s="8"/>
      <c r="E4" s="8"/>
      <c r="F4" s="8"/>
      <c r="G4" s="8"/>
      <c r="H4" s="8"/>
      <c r="I4" s="8"/>
      <c r="J4" s="8"/>
      <c r="K4" s="8"/>
    </row>
    <row r="5" spans="1:17" ht="15.75" x14ac:dyDescent="0.25">
      <c r="A5" s="47" t="s">
        <v>1</v>
      </c>
      <c r="B5" s="48"/>
      <c r="C5" s="48"/>
      <c r="D5" s="48"/>
      <c r="E5" s="48"/>
      <c r="F5" s="49"/>
      <c r="G5" s="8"/>
      <c r="H5" s="8"/>
      <c r="I5" s="149" t="s">
        <v>15</v>
      </c>
      <c r="J5" s="150"/>
      <c r="K5" s="151"/>
      <c r="N5" s="4"/>
      <c r="O5" s="64"/>
      <c r="P5" s="4"/>
      <c r="Q5" s="4"/>
    </row>
    <row r="6" spans="1:17" ht="15.75" x14ac:dyDescent="0.25">
      <c r="A6" s="50"/>
      <c r="B6" s="19"/>
      <c r="C6" s="19"/>
      <c r="D6" s="19"/>
      <c r="E6" s="19"/>
      <c r="F6" s="20"/>
      <c r="G6" s="8"/>
      <c r="H6" s="8"/>
      <c r="I6" s="110" t="s">
        <v>51</v>
      </c>
      <c r="J6" s="17"/>
      <c r="K6" s="23"/>
      <c r="N6" s="4"/>
      <c r="O6" s="4"/>
      <c r="P6" s="4"/>
      <c r="Q6" s="4"/>
    </row>
    <row r="7" spans="1:17" ht="13.5" thickBot="1" x14ac:dyDescent="0.25">
      <c r="A7" s="51" t="s">
        <v>2</v>
      </c>
      <c r="B7" s="19" t="s">
        <v>14</v>
      </c>
      <c r="C7" s="19"/>
      <c r="D7" s="52" t="s">
        <v>3</v>
      </c>
      <c r="E7" s="19" t="s">
        <v>14</v>
      </c>
      <c r="F7" s="20"/>
      <c r="G7" s="8"/>
      <c r="H7" s="8"/>
      <c r="I7" s="155" t="s">
        <v>16</v>
      </c>
      <c r="J7" s="156"/>
      <c r="K7" s="157"/>
      <c r="N7" s="4"/>
      <c r="O7" s="65"/>
      <c r="P7" s="65"/>
      <c r="Q7" s="65"/>
    </row>
    <row r="8" spans="1:17" x14ac:dyDescent="0.2">
      <c r="A8" s="12" t="s">
        <v>25</v>
      </c>
      <c r="B8" s="11"/>
      <c r="C8" s="11">
        <f>-F40</f>
        <v>3320.0038699999996</v>
      </c>
      <c r="D8" s="12" t="s">
        <v>26</v>
      </c>
      <c r="E8" s="11"/>
      <c r="F8" s="33">
        <f>F26</f>
        <v>2827.55512</v>
      </c>
      <c r="G8" s="8"/>
      <c r="H8" s="8"/>
      <c r="I8" s="152" t="s">
        <v>53</v>
      </c>
      <c r="J8" s="153"/>
      <c r="K8" s="154"/>
      <c r="N8" s="4"/>
      <c r="O8" s="65"/>
      <c r="P8" s="66"/>
      <c r="Q8" s="65"/>
    </row>
    <row r="9" spans="1:17" x14ac:dyDescent="0.2">
      <c r="A9" s="13" t="str">
        <f>IF(F32&lt;0,"Zunahme Debitoren","")</f>
        <v/>
      </c>
      <c r="B9" s="17"/>
      <c r="C9" s="17" t="str">
        <f>IF(F32&lt;0,-F32,"")</f>
        <v/>
      </c>
      <c r="D9" s="13" t="s">
        <v>5</v>
      </c>
      <c r="E9" s="17"/>
      <c r="F9" s="23">
        <f>F27</f>
        <v>2420.0558799999999</v>
      </c>
      <c r="G9" s="8"/>
      <c r="H9" s="8"/>
      <c r="I9" s="13"/>
      <c r="J9" s="17"/>
      <c r="K9" s="23"/>
      <c r="N9" s="4"/>
      <c r="O9" s="65"/>
      <c r="P9" s="65"/>
      <c r="Q9" s="65"/>
    </row>
    <row r="10" spans="1:17" x14ac:dyDescent="0.2">
      <c r="A10" s="13" t="str">
        <f>IF(F33&lt;0,"Zunahme Bestände","")</f>
        <v>Zunahme Bestände</v>
      </c>
      <c r="B10" s="17"/>
      <c r="C10" s="17">
        <f>IF(F33&lt;0,-F33,"")</f>
        <v>718.53308000000015</v>
      </c>
      <c r="D10" s="34" t="s">
        <v>52</v>
      </c>
      <c r="E10" s="9"/>
      <c r="F10" s="35">
        <f>F28</f>
        <v>1795.9349999999995</v>
      </c>
      <c r="G10" s="8"/>
      <c r="H10" s="8"/>
      <c r="I10" s="107" t="str">
        <f>I19</f>
        <v>Vorjahr</v>
      </c>
      <c r="J10" s="17"/>
      <c r="K10" s="108">
        <f>K19</f>
        <v>2003</v>
      </c>
      <c r="N10" s="4"/>
      <c r="O10" s="4"/>
      <c r="P10" s="4"/>
      <c r="Q10" s="4"/>
    </row>
    <row r="11" spans="1:17" ht="13.5" thickBot="1" x14ac:dyDescent="0.25">
      <c r="A11" s="13" t="str">
        <f>IF(F34&lt;0,"Abnahme Anzahlungen","")</f>
        <v/>
      </c>
      <c r="B11" s="17"/>
      <c r="C11" s="23" t="str">
        <f>IF(F34&lt;0,-F34,"")</f>
        <v/>
      </c>
      <c r="D11" s="57" t="s">
        <v>6</v>
      </c>
      <c r="E11" s="58"/>
      <c r="F11" s="23">
        <f>SUM(F8:F10)</f>
        <v>7043.5459999999994</v>
      </c>
      <c r="G11" s="8"/>
      <c r="H11" s="8"/>
      <c r="I11" s="104">
        <f>J71/D76</f>
        <v>0.11289324202024209</v>
      </c>
      <c r="J11" s="36"/>
      <c r="K11" s="60">
        <f>K71/((E76))</f>
        <v>8.642173268072309E-2</v>
      </c>
      <c r="N11" s="4"/>
      <c r="O11" s="65"/>
      <c r="P11" s="65"/>
      <c r="Q11" s="65"/>
    </row>
    <row r="12" spans="1:17" x14ac:dyDescent="0.2">
      <c r="A12" s="13" t="str">
        <f>IF(F35&lt;0,"Abn. Rückstellungen","")</f>
        <v/>
      </c>
      <c r="B12" s="17"/>
      <c r="C12" s="23" t="str">
        <f>IF(F35&lt;0,-F35,"")</f>
        <v/>
      </c>
      <c r="D12" s="13" t="str">
        <f>IF(F32&gt;0,"Abnahme Debitoren","")</f>
        <v>Abnahme Debitoren</v>
      </c>
      <c r="E12" s="17"/>
      <c r="F12" s="23">
        <f>IF(F32&gt;0,F32,"")</f>
        <v>768.7690900000016</v>
      </c>
      <c r="G12" s="8"/>
      <c r="H12" s="8"/>
      <c r="I12" s="111" t="s">
        <v>57</v>
      </c>
      <c r="J12" s="8"/>
      <c r="K12" s="8"/>
      <c r="N12" s="4"/>
      <c r="O12" s="65"/>
      <c r="P12" s="65"/>
      <c r="Q12" s="65"/>
    </row>
    <row r="13" spans="1:17" ht="13.5" thickBot="1" x14ac:dyDescent="0.25">
      <c r="A13" s="13" t="str">
        <f>IF(F36&lt;0,"Abnahme Kreditoren","")</f>
        <v/>
      </c>
      <c r="B13" s="17"/>
      <c r="C13" s="23" t="str">
        <f>IF(F36&lt;0,-F36,"")</f>
        <v/>
      </c>
      <c r="D13" s="13" t="str">
        <f>IF(F33&gt;0,"Bestandsabbau","")</f>
        <v/>
      </c>
      <c r="E13" s="17"/>
      <c r="F13" s="23" t="str">
        <f>IF(F33&gt;0,F33,"")</f>
        <v/>
      </c>
      <c r="G13" s="8"/>
      <c r="H13" s="8"/>
      <c r="I13" s="8"/>
      <c r="J13" s="8"/>
      <c r="K13" s="8"/>
      <c r="N13" s="4"/>
      <c r="O13" s="4"/>
      <c r="P13" s="4"/>
      <c r="Q13" s="4"/>
    </row>
    <row r="14" spans="1:17" x14ac:dyDescent="0.2">
      <c r="A14" s="13" t="str">
        <f>IF(F47&gt;0,"Aufbau FlüMi","")</f>
        <v>Aufbau FlüMi</v>
      </c>
      <c r="B14" s="17"/>
      <c r="C14" s="23">
        <f>IF(F47&gt;0,F47,"")</f>
        <v>7794.393710000003</v>
      </c>
      <c r="D14" s="13" t="str">
        <f>IF(F34&gt;0,"Zunahme Anzahlungen","")</f>
        <v/>
      </c>
      <c r="E14" s="17"/>
      <c r="F14" s="23" t="str">
        <f>IF(F34&gt;0,F34,"")</f>
        <v/>
      </c>
      <c r="G14" s="8"/>
      <c r="H14" s="8"/>
      <c r="I14" s="149" t="s">
        <v>46</v>
      </c>
      <c r="J14" s="150"/>
      <c r="K14" s="151"/>
      <c r="N14" s="4"/>
      <c r="O14" s="67"/>
      <c r="P14" s="67"/>
      <c r="Q14" s="67"/>
    </row>
    <row r="15" spans="1:17" x14ac:dyDescent="0.2">
      <c r="A15" s="13" t="str">
        <f>IF(F43&lt;0,"Abn. lafri Schulden","")</f>
        <v/>
      </c>
      <c r="B15" s="17"/>
      <c r="C15" s="23" t="str">
        <f>IF(F43&lt;0,-F43,"")</f>
        <v/>
      </c>
      <c r="D15" s="13" t="str">
        <f>IF(F35&gt;0,"Zunahme Rückstellungen","")</f>
        <v>Zunahme Rückstellungen</v>
      </c>
      <c r="E15" s="17"/>
      <c r="F15" s="23">
        <f>IF(F35&gt;0,F35,"")</f>
        <v>1883.6447800000024</v>
      </c>
      <c r="G15" s="8"/>
      <c r="H15" s="8"/>
      <c r="I15" s="13"/>
      <c r="J15" s="17"/>
      <c r="K15" s="23"/>
      <c r="N15" s="4"/>
      <c r="O15" s="67"/>
      <c r="P15" s="67"/>
      <c r="Q15" s="67"/>
    </row>
    <row r="16" spans="1:17" x14ac:dyDescent="0.2">
      <c r="A16" s="13" t="str">
        <f>IF(F44&lt;0,"Abn. kufri Schulden","")</f>
        <v/>
      </c>
      <c r="B16" s="17"/>
      <c r="C16" s="23" t="str">
        <f>IF(F44&lt;0,-F44,"")</f>
        <v/>
      </c>
      <c r="D16" s="13" t="str">
        <f>IF(F36&gt;0,"Zunahme Kreditoren","")</f>
        <v>Zunahme Kreditoren</v>
      </c>
      <c r="E16" s="17"/>
      <c r="F16" s="23">
        <f>IF(F36&gt;0,F36,"")</f>
        <v>2003.1389099999997</v>
      </c>
      <c r="G16" s="8"/>
      <c r="H16" s="8"/>
      <c r="I16" s="13"/>
      <c r="J16" s="37" t="s">
        <v>9</v>
      </c>
      <c r="K16" s="23"/>
    </row>
    <row r="17" spans="1:14" x14ac:dyDescent="0.2">
      <c r="A17" s="13"/>
      <c r="B17" s="17"/>
      <c r="C17" s="17"/>
      <c r="D17" s="13" t="str">
        <f>IF(F47&lt;0,"Abbau FlüMi","")</f>
        <v/>
      </c>
      <c r="E17" s="17"/>
      <c r="F17" s="23" t="str">
        <f>IF(F47&lt;0,-F47,"")</f>
        <v/>
      </c>
      <c r="G17" s="8"/>
      <c r="H17" s="8"/>
      <c r="I17" s="13"/>
      <c r="J17" s="30" t="s">
        <v>0</v>
      </c>
      <c r="K17" s="23"/>
    </row>
    <row r="18" spans="1:14" x14ac:dyDescent="0.2">
      <c r="A18" s="13"/>
      <c r="B18" s="17"/>
      <c r="C18" s="17"/>
      <c r="D18" s="13" t="str">
        <f>IF(F43&gt;0,"Zunahme lafri Schulden","")</f>
        <v/>
      </c>
      <c r="E18" s="17"/>
      <c r="F18" s="23" t="str">
        <f>IF(F43&gt;0,F43,"")</f>
        <v/>
      </c>
      <c r="G18" s="8"/>
      <c r="H18" s="8"/>
      <c r="I18" s="13"/>
      <c r="J18" s="17"/>
      <c r="K18" s="23"/>
    </row>
    <row r="19" spans="1:14" ht="13.5" thickBot="1" x14ac:dyDescent="0.25">
      <c r="A19" s="13"/>
      <c r="B19" s="17"/>
      <c r="C19" s="59"/>
      <c r="D19" s="13" t="str">
        <f>IF(F44&gt;0,"Zunahme kufri Schulden","")</f>
        <v>Zunahme kufri Schulden</v>
      </c>
      <c r="E19" s="17"/>
      <c r="F19" s="59">
        <f>IF(F44&gt;0,F44,"")</f>
        <v>133.83187999999973</v>
      </c>
      <c r="G19" s="8"/>
      <c r="H19" s="8"/>
      <c r="I19" s="107" t="str">
        <f>I37</f>
        <v>Vorjahr</v>
      </c>
      <c r="J19" s="17"/>
      <c r="K19" s="108">
        <f>K37</f>
        <v>2003</v>
      </c>
    </row>
    <row r="20" spans="1:14" ht="14.25" thickTop="1" thickBot="1" x14ac:dyDescent="0.25">
      <c r="A20" s="73"/>
      <c r="B20" s="74"/>
      <c r="C20" s="74">
        <f>SUM(C8:C19)</f>
        <v>11832.930660000002</v>
      </c>
      <c r="D20" s="73"/>
      <c r="E20" s="74"/>
      <c r="F20" s="75">
        <f>SUM(F11:F19)</f>
        <v>11832.930660000002</v>
      </c>
      <c r="G20" s="8"/>
      <c r="H20" s="8"/>
      <c r="I20" s="104">
        <f>J77/J62</f>
        <v>4.0952879181265674E-2</v>
      </c>
      <c r="J20" s="36"/>
      <c r="K20" s="105">
        <f>F30/K62</f>
        <v>8.8957036908416998E-2</v>
      </c>
    </row>
    <row r="21" spans="1:14" x14ac:dyDescent="0.2">
      <c r="B21" s="8"/>
      <c r="C21" s="8"/>
      <c r="D21" s="8"/>
      <c r="E21" s="8"/>
      <c r="F21" s="8"/>
      <c r="G21" s="8"/>
      <c r="H21" s="8"/>
      <c r="I21" s="8"/>
      <c r="J21" s="8"/>
      <c r="K21" s="8"/>
    </row>
    <row r="22" spans="1:14" ht="13.5" thickBot="1" x14ac:dyDescent="0.25">
      <c r="B22" s="8"/>
      <c r="C22" s="8"/>
      <c r="D22" s="8"/>
      <c r="E22" s="8"/>
      <c r="F22" s="8"/>
      <c r="G22" s="8"/>
      <c r="H22" s="8"/>
      <c r="I22" s="8"/>
      <c r="J22" s="8"/>
      <c r="K22" s="8"/>
    </row>
    <row r="23" spans="1:14" ht="16.5" thickBot="1" x14ac:dyDescent="0.3">
      <c r="A23" s="53" t="s">
        <v>24</v>
      </c>
      <c r="B23" s="3"/>
      <c r="C23" s="3"/>
      <c r="D23" s="3"/>
      <c r="E23" s="3"/>
      <c r="F23" s="54"/>
      <c r="G23" s="8"/>
      <c r="H23" s="8"/>
      <c r="I23" s="149" t="s">
        <v>45</v>
      </c>
      <c r="J23" s="150"/>
      <c r="K23" s="151"/>
    </row>
    <row r="24" spans="1:14" ht="13.5" thickBot="1" x14ac:dyDescent="0.25">
      <c r="A24" s="15"/>
      <c r="B24" s="16"/>
      <c r="C24" s="16"/>
      <c r="D24" s="16"/>
      <c r="E24" s="16"/>
      <c r="F24" s="78">
        <f>E60</f>
        <v>2003</v>
      </c>
      <c r="G24" s="8"/>
      <c r="H24" s="8"/>
      <c r="I24" s="13"/>
      <c r="J24" s="17"/>
      <c r="K24" s="23"/>
    </row>
    <row r="25" spans="1:14" x14ac:dyDescent="0.2">
      <c r="A25" s="13"/>
      <c r="B25" s="17"/>
      <c r="C25" s="17"/>
      <c r="D25" s="17"/>
      <c r="E25" s="17"/>
      <c r="F25" s="18"/>
      <c r="G25" s="8"/>
      <c r="H25" s="8"/>
      <c r="I25" s="13"/>
      <c r="J25" s="21" t="s">
        <v>16</v>
      </c>
      <c r="K25" s="23"/>
      <c r="M25" s="62"/>
    </row>
    <row r="26" spans="1:14" x14ac:dyDescent="0.2">
      <c r="A26" s="13" t="s">
        <v>26</v>
      </c>
      <c r="B26" s="17"/>
      <c r="C26" s="17"/>
      <c r="D26" s="17"/>
      <c r="E26" s="17"/>
      <c r="F26" s="22">
        <f>$K74</f>
        <v>2827.55512</v>
      </c>
      <c r="G26" s="8"/>
      <c r="H26" s="8"/>
      <c r="I26" s="13"/>
      <c r="J26" s="30" t="s">
        <v>11</v>
      </c>
      <c r="K26" s="23"/>
    </row>
    <row r="27" spans="1:14" x14ac:dyDescent="0.2">
      <c r="A27" s="13" t="s">
        <v>5</v>
      </c>
      <c r="B27" s="17"/>
      <c r="C27" s="17"/>
      <c r="D27" s="17"/>
      <c r="E27" s="17"/>
      <c r="F27" s="22">
        <f>$K65</f>
        <v>2420.0558799999999</v>
      </c>
      <c r="G27" s="8"/>
      <c r="H27" s="8"/>
      <c r="I27" s="13"/>
      <c r="J27" s="17"/>
      <c r="K27" s="23"/>
    </row>
    <row r="28" spans="1:14" x14ac:dyDescent="0.2">
      <c r="A28" s="13" t="s">
        <v>44</v>
      </c>
      <c r="B28" s="17"/>
      <c r="C28" s="17"/>
      <c r="D28" s="17"/>
      <c r="E28" s="17"/>
      <c r="F28" s="22">
        <f>$E68-$D68</f>
        <v>1795.9349999999995</v>
      </c>
      <c r="G28" s="8"/>
      <c r="H28" s="8"/>
      <c r="I28" s="107" t="str">
        <f>I37</f>
        <v>Vorjahr</v>
      </c>
      <c r="J28" s="17"/>
      <c r="K28" s="108">
        <f>K46</f>
        <v>2003</v>
      </c>
    </row>
    <row r="29" spans="1:14" ht="13.5" thickBot="1" x14ac:dyDescent="0.25">
      <c r="A29" s="13"/>
      <c r="B29" s="17"/>
      <c r="C29" s="17"/>
      <c r="D29" s="17"/>
      <c r="E29" s="17"/>
      <c r="F29" s="22"/>
      <c r="G29" s="8"/>
      <c r="H29" s="8"/>
      <c r="I29" s="77">
        <f>J71/J68</f>
        <v>3.7946756559665755</v>
      </c>
      <c r="J29" s="36"/>
      <c r="K29" s="63">
        <f>K71/K68</f>
        <v>9.0219297515235741</v>
      </c>
    </row>
    <row r="30" spans="1:14" x14ac:dyDescent="0.2">
      <c r="A30" s="24" t="s">
        <v>6</v>
      </c>
      <c r="B30" s="14"/>
      <c r="C30" s="14"/>
      <c r="D30" s="14"/>
      <c r="E30" s="14"/>
      <c r="F30" s="25">
        <f>SUM(F26:F28)</f>
        <v>7043.5459999999994</v>
      </c>
      <c r="G30" s="8"/>
      <c r="H30" s="8"/>
      <c r="I30" s="8"/>
      <c r="J30" s="8"/>
      <c r="K30" s="8"/>
    </row>
    <row r="31" spans="1:14" ht="13.5" thickBot="1" x14ac:dyDescent="0.25">
      <c r="A31" s="13"/>
      <c r="B31" s="17"/>
      <c r="C31" s="17"/>
      <c r="D31" s="17"/>
      <c r="E31" s="17"/>
      <c r="F31" s="22"/>
      <c r="G31" s="8"/>
      <c r="H31" s="8"/>
      <c r="I31" s="8"/>
      <c r="J31" s="8"/>
      <c r="K31" s="8"/>
    </row>
    <row r="32" spans="1:14" x14ac:dyDescent="0.2">
      <c r="A32" s="26" t="str">
        <f>IF(D63-E63&lt;0,"- zunehmende Debitoren","+ abnehmende Debitoren")</f>
        <v>+ abnehmende Debitoren</v>
      </c>
      <c r="B32" s="17"/>
      <c r="C32" s="17"/>
      <c r="D32" s="17"/>
      <c r="E32" s="17"/>
      <c r="F32" s="22">
        <f>$D63-$E63</f>
        <v>768.7690900000016</v>
      </c>
      <c r="G32" s="8"/>
      <c r="H32" s="8"/>
      <c r="I32" s="149" t="s">
        <v>17</v>
      </c>
      <c r="J32" s="150"/>
      <c r="K32" s="151"/>
      <c r="L32"/>
      <c r="M32"/>
      <c r="N32"/>
    </row>
    <row r="33" spans="1:14" x14ac:dyDescent="0.2">
      <c r="A33" s="26" t="str">
        <f>IF(D64-E64&lt;0,"- zunehmende Bestände","+ abnehmende Bestände")</f>
        <v>- zunehmende Bestände</v>
      </c>
      <c r="B33" s="17"/>
      <c r="C33" s="17"/>
      <c r="D33" s="17"/>
      <c r="E33" s="17"/>
      <c r="F33" s="22">
        <f>$D64-$E64</f>
        <v>-718.53308000000015</v>
      </c>
      <c r="G33" s="8"/>
      <c r="H33" s="8"/>
      <c r="I33" s="13"/>
      <c r="J33" s="17"/>
      <c r="K33" s="23"/>
      <c r="L33"/>
      <c r="M33"/>
      <c r="N33"/>
    </row>
    <row r="34" spans="1:14" x14ac:dyDescent="0.2">
      <c r="A34" s="26" t="str">
        <f>IF(E72-D72&gt;0,"+ zunehmende Anzahlungen","- abnehmende Anzahlungen")</f>
        <v>- abnehmende Anzahlungen</v>
      </c>
      <c r="B34" s="17"/>
      <c r="C34" s="17"/>
      <c r="D34" s="17"/>
      <c r="E34" s="17"/>
      <c r="F34" s="22">
        <f>$E72-$D72</f>
        <v>0</v>
      </c>
      <c r="G34" s="8"/>
      <c r="H34" s="8"/>
      <c r="I34" s="13"/>
      <c r="J34" s="10" t="s">
        <v>16</v>
      </c>
      <c r="K34" s="23"/>
    </row>
    <row r="35" spans="1:14" x14ac:dyDescent="0.2">
      <c r="A35" s="26" t="str">
        <f>IF(E71-D71&lt;0,"- abnehmende Rückstellungen","+ zunehmende Rückstellungen")</f>
        <v>+ zunehmende Rückstellungen</v>
      </c>
      <c r="B35" s="17"/>
      <c r="C35" s="17"/>
      <c r="D35" s="17"/>
      <c r="E35" s="17"/>
      <c r="F35" s="22">
        <f>$E71-$D71</f>
        <v>1883.6447800000024</v>
      </c>
      <c r="G35" s="8"/>
      <c r="H35" s="8"/>
      <c r="I35" s="13"/>
      <c r="J35" s="30" t="s">
        <v>0</v>
      </c>
      <c r="K35" s="23"/>
    </row>
    <row r="36" spans="1:14" x14ac:dyDescent="0.2">
      <c r="A36" s="26" t="str">
        <f>IF(E73-D73&gt;0,"+ zunehmende Kreditoren","- abnehmende Kreditoren")</f>
        <v>+ zunehmende Kreditoren</v>
      </c>
      <c r="B36" s="17"/>
      <c r="C36" s="17"/>
      <c r="D36" s="17"/>
      <c r="E36" s="17"/>
      <c r="F36" s="22">
        <f>$E73-$D73</f>
        <v>2003.1389099999997</v>
      </c>
      <c r="G36" s="8"/>
      <c r="H36" s="8"/>
      <c r="I36" s="13"/>
      <c r="J36" s="17"/>
      <c r="K36" s="23"/>
    </row>
    <row r="37" spans="1:14" x14ac:dyDescent="0.2">
      <c r="A37" s="14" t="s">
        <v>55</v>
      </c>
      <c r="B37" s="14"/>
      <c r="C37" s="14"/>
      <c r="D37" s="14"/>
      <c r="E37" s="14"/>
      <c r="F37" s="25">
        <f>SUM(F32:F36)</f>
        <v>3937.0197000000035</v>
      </c>
      <c r="G37" s="8"/>
      <c r="H37" s="8"/>
      <c r="I37" s="107" t="str">
        <f>D60</f>
        <v>Vorjahr</v>
      </c>
      <c r="J37" s="17"/>
      <c r="K37" s="108">
        <f>E60</f>
        <v>2003</v>
      </c>
    </row>
    <row r="38" spans="1:14" ht="13.5" thickBot="1" x14ac:dyDescent="0.25">
      <c r="A38" s="24" t="s">
        <v>7</v>
      </c>
      <c r="B38" s="14"/>
      <c r="C38" s="14"/>
      <c r="D38" s="14"/>
      <c r="E38" s="14"/>
      <c r="F38" s="25">
        <f>SUM(F30:F36)</f>
        <v>10980.565700000003</v>
      </c>
      <c r="G38" s="8"/>
      <c r="H38" s="8"/>
      <c r="I38" s="104">
        <f>J71/J62</f>
        <v>4.1751114678156412E-2</v>
      </c>
      <c r="J38" s="36"/>
      <c r="K38" s="105">
        <f>K71/K62</f>
        <v>4.0233055144075977E-2</v>
      </c>
    </row>
    <row r="39" spans="1:14" x14ac:dyDescent="0.2">
      <c r="A39" s="13"/>
      <c r="B39" s="17"/>
      <c r="C39" s="17"/>
      <c r="D39" s="17"/>
      <c r="E39" s="17"/>
      <c r="F39" s="22"/>
      <c r="G39" s="8"/>
      <c r="H39" s="8"/>
      <c r="I39" s="8"/>
      <c r="J39" s="8"/>
      <c r="K39" s="8"/>
    </row>
    <row r="40" spans="1:14" ht="13.5" thickBot="1" x14ac:dyDescent="0.25">
      <c r="A40" s="13" t="s">
        <v>54</v>
      </c>
      <c r="B40" s="17"/>
      <c r="C40" s="17"/>
      <c r="D40" s="17"/>
      <c r="E40" s="17"/>
      <c r="F40" s="22">
        <f>-$E61+$D61-$K65</f>
        <v>-3320.0038699999996</v>
      </c>
      <c r="G40" s="8"/>
      <c r="H40" s="8"/>
      <c r="I40" s="8"/>
      <c r="J40" s="8"/>
      <c r="K40" s="8"/>
    </row>
    <row r="41" spans="1:14" x14ac:dyDescent="0.2">
      <c r="A41" s="24" t="s">
        <v>8</v>
      </c>
      <c r="B41" s="14"/>
      <c r="C41" s="14"/>
      <c r="D41" s="14"/>
      <c r="E41" s="14"/>
      <c r="F41" s="25">
        <f>F38+F40</f>
        <v>7660.5618300000033</v>
      </c>
      <c r="G41" s="8"/>
      <c r="H41" s="8"/>
      <c r="I41" s="160" t="s">
        <v>47</v>
      </c>
      <c r="J41" s="161"/>
      <c r="K41" s="162"/>
    </row>
    <row r="42" spans="1:14" x14ac:dyDescent="0.2">
      <c r="A42" s="26"/>
      <c r="B42" s="17"/>
      <c r="C42" s="17"/>
      <c r="D42" s="17"/>
      <c r="E42" s="17"/>
      <c r="F42" s="22"/>
      <c r="G42" s="8"/>
      <c r="H42" s="8"/>
      <c r="I42" s="13"/>
      <c r="J42" s="17"/>
      <c r="K42" s="23"/>
    </row>
    <row r="43" spans="1:14" x14ac:dyDescent="0.2">
      <c r="A43" s="13" t="str">
        <f>IF(E68-D68&gt;0,"+ zunehmende Schulden (lafri)","- abnehmende Schulden (lafri)")</f>
        <v>+ zunehmende Schulden (lafri)</v>
      </c>
      <c r="B43" s="17"/>
      <c r="C43" s="17"/>
      <c r="D43" s="17"/>
      <c r="E43" s="17"/>
      <c r="F43" s="22">
        <f>$E69-$D69</f>
        <v>0</v>
      </c>
      <c r="G43" s="8"/>
      <c r="H43" s="8"/>
      <c r="I43" s="13"/>
      <c r="J43" s="10" t="s">
        <v>13</v>
      </c>
      <c r="K43" s="23"/>
    </row>
    <row r="44" spans="1:14" x14ac:dyDescent="0.2">
      <c r="A44" s="26" t="str">
        <f>IF(E73-D73&gt;0,"+ zunehmende Schulden (kufri)","- abnehmende Schulden (kufri)")</f>
        <v>+ zunehmende Schulden (kufri)</v>
      </c>
      <c r="B44" s="26"/>
      <c r="C44" s="17"/>
      <c r="D44" s="17"/>
      <c r="E44" s="17"/>
      <c r="F44" s="22">
        <f>$E74-$D74</f>
        <v>133.83187999999973</v>
      </c>
      <c r="G44" s="8"/>
      <c r="H44" s="8"/>
      <c r="I44" s="13"/>
      <c r="J44" s="30" t="s">
        <v>18</v>
      </c>
      <c r="K44" s="23"/>
    </row>
    <row r="45" spans="1:14" x14ac:dyDescent="0.2">
      <c r="A45" s="26"/>
      <c r="B45" s="17"/>
      <c r="C45" s="17"/>
      <c r="D45" s="17"/>
      <c r="E45" s="17"/>
      <c r="F45" s="22"/>
      <c r="G45" s="8"/>
      <c r="H45" s="8"/>
      <c r="I45" s="13"/>
      <c r="J45" s="17"/>
      <c r="K45" s="23"/>
    </row>
    <row r="46" spans="1:14" x14ac:dyDescent="0.2">
      <c r="A46" s="14" t="s">
        <v>56</v>
      </c>
      <c r="B46" s="14"/>
      <c r="C46" s="14"/>
      <c r="D46" s="14"/>
      <c r="E46" s="14"/>
      <c r="F46" s="25">
        <f>SUM(F43:F45)</f>
        <v>133.83187999999973</v>
      </c>
      <c r="G46" s="8"/>
      <c r="H46" s="8"/>
      <c r="I46" s="107" t="str">
        <f>D60</f>
        <v>Vorjahr</v>
      </c>
      <c r="J46" s="17"/>
      <c r="K46" s="108">
        <f>E60</f>
        <v>2003</v>
      </c>
    </row>
    <row r="47" spans="1:14" ht="13.5" thickBot="1" x14ac:dyDescent="0.25">
      <c r="A47" s="27" t="s">
        <v>10</v>
      </c>
      <c r="B47" s="28"/>
      <c r="C47" s="28"/>
      <c r="D47" s="28"/>
      <c r="E47" s="28"/>
      <c r="F47" s="29">
        <f>SUM(F41:F45)</f>
        <v>7794.393710000003</v>
      </c>
      <c r="G47" s="8"/>
      <c r="H47" s="8"/>
      <c r="I47" s="104">
        <f>D67/D76</f>
        <v>0</v>
      </c>
      <c r="J47" s="36"/>
      <c r="K47" s="105">
        <f>E67/E76</f>
        <v>0</v>
      </c>
    </row>
    <row r="48" spans="1:14" x14ac:dyDescent="0.2">
      <c r="A48" s="17"/>
      <c r="B48" s="17"/>
      <c r="C48" s="17"/>
      <c r="D48" s="17"/>
      <c r="E48" s="17"/>
      <c r="F48" s="17"/>
      <c r="G48" s="8"/>
      <c r="H48" s="8"/>
      <c r="I48" s="8"/>
      <c r="J48" s="8"/>
      <c r="K48" s="8"/>
    </row>
    <row r="49" spans="1:13" ht="13.5" thickBot="1" x14ac:dyDescent="0.25">
      <c r="A49" s="17"/>
      <c r="B49" s="17"/>
      <c r="C49" s="17"/>
      <c r="D49" s="17"/>
      <c r="E49" s="17"/>
      <c r="F49" s="17"/>
      <c r="G49" s="8"/>
      <c r="H49" s="8"/>
      <c r="I49" s="8"/>
      <c r="J49" s="8"/>
      <c r="K49" s="8"/>
    </row>
    <row r="50" spans="1:13" x14ac:dyDescent="0.2">
      <c r="A50" s="149" t="s">
        <v>48</v>
      </c>
      <c r="B50" s="150"/>
      <c r="C50" s="151"/>
      <c r="D50" s="149" t="s">
        <v>49</v>
      </c>
      <c r="E50" s="158"/>
      <c r="F50" s="158"/>
      <c r="G50" s="158"/>
      <c r="H50" s="159"/>
      <c r="I50" s="39"/>
      <c r="J50" s="45" t="s">
        <v>50</v>
      </c>
      <c r="K50" s="33"/>
    </row>
    <row r="51" spans="1:13" x14ac:dyDescent="0.2">
      <c r="A51" s="13"/>
      <c r="B51" s="17"/>
      <c r="C51" s="23"/>
      <c r="D51" s="13"/>
      <c r="E51" s="17"/>
      <c r="F51" s="17"/>
      <c r="G51" s="17"/>
      <c r="H51" s="23"/>
      <c r="I51" s="42"/>
      <c r="J51" s="17"/>
      <c r="K51" s="23"/>
    </row>
    <row r="52" spans="1:13" x14ac:dyDescent="0.2">
      <c r="A52" s="40"/>
      <c r="B52" s="31" t="s">
        <v>23</v>
      </c>
      <c r="C52" s="44"/>
      <c r="D52" s="46"/>
      <c r="E52" s="31" t="s">
        <v>21</v>
      </c>
      <c r="F52" s="32"/>
      <c r="G52" s="17"/>
      <c r="H52" s="23"/>
      <c r="I52" s="34" t="s">
        <v>19</v>
      </c>
      <c r="J52" s="9"/>
      <c r="K52" s="35"/>
    </row>
    <row r="53" spans="1:13" x14ac:dyDescent="0.2">
      <c r="A53" s="13"/>
      <c r="B53" s="30" t="s">
        <v>9</v>
      </c>
      <c r="C53" s="23"/>
      <c r="D53" s="13"/>
      <c r="E53" s="30" t="s">
        <v>22</v>
      </c>
      <c r="F53" s="17"/>
      <c r="G53" s="17"/>
      <c r="H53" s="23"/>
      <c r="I53" s="13"/>
      <c r="J53" s="43" t="s">
        <v>20</v>
      </c>
      <c r="K53" s="23"/>
    </row>
    <row r="54" spans="1:13" x14ac:dyDescent="0.2">
      <c r="A54" s="13"/>
      <c r="B54" s="17"/>
      <c r="C54" s="23"/>
      <c r="D54" s="13"/>
      <c r="E54" s="17"/>
      <c r="F54" s="17"/>
      <c r="G54" s="17"/>
      <c r="H54" s="23"/>
      <c r="I54" s="42"/>
      <c r="J54" s="17"/>
      <c r="K54" s="23"/>
    </row>
    <row r="55" spans="1:13" x14ac:dyDescent="0.2">
      <c r="A55" s="107" t="str">
        <f>D60</f>
        <v>Vorjahr</v>
      </c>
      <c r="B55" s="17"/>
      <c r="C55" s="108">
        <f>E60</f>
        <v>2003</v>
      </c>
      <c r="D55" s="107" t="str">
        <f>D60</f>
        <v>Vorjahr</v>
      </c>
      <c r="E55" s="17"/>
      <c r="F55" s="109">
        <f>E60</f>
        <v>2003</v>
      </c>
      <c r="G55" s="17"/>
      <c r="H55" s="23"/>
      <c r="I55" s="107" t="str">
        <f>D60</f>
        <v>Vorjahr</v>
      </c>
      <c r="J55" s="17"/>
      <c r="K55" s="108">
        <f>E60</f>
        <v>2003</v>
      </c>
    </row>
    <row r="56" spans="1:13" ht="13.5" thickBot="1" x14ac:dyDescent="0.25">
      <c r="A56" s="77">
        <f>(D70+D75-D62)/J77</f>
        <v>9.0249927034906943</v>
      </c>
      <c r="B56" s="36"/>
      <c r="C56" s="63">
        <f>(E70+E75-E62)/F30</f>
        <v>4.5254603363135555</v>
      </c>
      <c r="D56" s="104">
        <f>(D62+D63)/D75</f>
        <v>0.74950236376964852</v>
      </c>
      <c r="E56" s="36"/>
      <c r="F56" s="106">
        <f>(E62+E63)/E75</f>
        <v>0.78758383429945078</v>
      </c>
      <c r="G56" s="36"/>
      <c r="H56" s="38"/>
      <c r="I56" s="104">
        <f>(D67+D70)/D61</f>
        <v>0.91284554094713888</v>
      </c>
      <c r="J56" s="36"/>
      <c r="K56" s="105">
        <f>(E67+E70)/E61</f>
        <v>1.0989444123834371</v>
      </c>
    </row>
    <row r="57" spans="1:13" x14ac:dyDescent="0.2">
      <c r="A57" s="4"/>
      <c r="B57" s="4"/>
      <c r="C57" s="4"/>
      <c r="D57" s="4"/>
      <c r="E57" s="4"/>
      <c r="F57" s="4"/>
    </row>
    <row r="59" spans="1:13" ht="13.5" thickBot="1" x14ac:dyDescent="0.25">
      <c r="A59" s="72" t="s">
        <v>36</v>
      </c>
      <c r="I59" s="148" t="s">
        <v>27</v>
      </c>
      <c r="J59" s="148"/>
      <c r="K59" s="148"/>
    </row>
    <row r="60" spans="1:13" ht="16.5" thickBot="1" x14ac:dyDescent="0.3">
      <c r="A60" s="79"/>
      <c r="B60" s="80"/>
      <c r="C60" s="81"/>
      <c r="D60" s="82" t="s">
        <v>59</v>
      </c>
      <c r="E60" s="83">
        <v>2003</v>
      </c>
      <c r="I60" s="15"/>
      <c r="J60" s="92" t="str">
        <f>D60</f>
        <v>Vorjahr</v>
      </c>
      <c r="K60" s="93">
        <f>E60</f>
        <v>2003</v>
      </c>
      <c r="M60" s="61"/>
    </row>
    <row r="61" spans="1:13" x14ac:dyDescent="0.2">
      <c r="A61" s="84" t="s">
        <v>28</v>
      </c>
      <c r="B61" s="85"/>
      <c r="C61" s="85"/>
      <c r="D61" s="86">
        <f>'Finanzbericht 2002'!E61</f>
        <v>4336.0939200000003</v>
      </c>
      <c r="E61" s="87">
        <v>5236.0419099999999</v>
      </c>
      <c r="I61" s="94" t="s">
        <v>0</v>
      </c>
      <c r="J61" s="95"/>
      <c r="K61" s="96"/>
    </row>
    <row r="62" spans="1:13" x14ac:dyDescent="0.2">
      <c r="A62" s="13" t="s">
        <v>12</v>
      </c>
      <c r="B62" s="17"/>
      <c r="C62" s="17"/>
      <c r="D62" s="88">
        <f>'Finanzbericht 2002'!E62</f>
        <v>19.210909999999998</v>
      </c>
      <c r="E62" s="41">
        <v>4986.0495000000001</v>
      </c>
      <c r="I62" s="97"/>
      <c r="J62" s="88">
        <f>'Finanzbericht 2002'!K62</f>
        <v>83943.786340000006</v>
      </c>
      <c r="K62" s="41">
        <v>79179.188569999998</v>
      </c>
    </row>
    <row r="63" spans="1:13" ht="13.5" thickBot="1" x14ac:dyDescent="0.25">
      <c r="A63" s="13" t="s">
        <v>43</v>
      </c>
      <c r="B63" s="17"/>
      <c r="C63" s="17"/>
      <c r="D63" s="88">
        <f>'Finanzbericht 2002'!E63</f>
        <v>20282.262050000001</v>
      </c>
      <c r="E63" s="88">
        <f>16136.24037+6.01202+3371.24057</f>
        <v>19513.49296</v>
      </c>
      <c r="I63" s="98"/>
      <c r="J63" s="88"/>
      <c r="K63" s="99"/>
    </row>
    <row r="64" spans="1:13" x14ac:dyDescent="0.2">
      <c r="A64" s="13" t="s">
        <v>29</v>
      </c>
      <c r="B64" s="17"/>
      <c r="C64" s="17"/>
      <c r="D64" s="88">
        <f>'Finanzbericht 2002'!E64</f>
        <v>6407.2200999999995</v>
      </c>
      <c r="E64" s="41">
        <v>7125.7531799999997</v>
      </c>
      <c r="I64" s="94" t="s">
        <v>5</v>
      </c>
      <c r="J64" s="95"/>
      <c r="K64" s="96"/>
    </row>
    <row r="65" spans="1:11" ht="13.5" thickBot="1" x14ac:dyDescent="0.25">
      <c r="A65" s="84" t="s">
        <v>30</v>
      </c>
      <c r="B65" s="85"/>
      <c r="C65" s="85"/>
      <c r="D65" s="86">
        <f>SUM(D62:D64)</f>
        <v>26708.693060000001</v>
      </c>
      <c r="E65" s="87">
        <f>SUM(E62:E64)</f>
        <v>31625.29564</v>
      </c>
      <c r="I65" s="97"/>
      <c r="J65" s="88">
        <f>'Finanzbericht 2002'!K65</f>
        <v>788.31152999999995</v>
      </c>
      <c r="K65" s="41">
        <v>2420.0558799999999</v>
      </c>
    </row>
    <row r="66" spans="1:11" ht="16.5" thickBot="1" x14ac:dyDescent="0.3">
      <c r="A66" s="79" t="s">
        <v>31</v>
      </c>
      <c r="B66" s="80"/>
      <c r="C66" s="80"/>
      <c r="D66" s="89">
        <f>D61+D65</f>
        <v>31044.786980000001</v>
      </c>
      <c r="E66" s="90">
        <f>E61+E65</f>
        <v>36861.337549999997</v>
      </c>
      <c r="I66" s="98"/>
      <c r="J66" s="100"/>
      <c r="K66" s="99"/>
    </row>
    <row r="67" spans="1:11" x14ac:dyDescent="0.2">
      <c r="A67" s="84" t="s">
        <v>32</v>
      </c>
      <c r="B67" s="85"/>
      <c r="C67" s="85"/>
      <c r="D67" s="86">
        <f>'Finanzbericht 2002'!E67</f>
        <v>0</v>
      </c>
      <c r="E67" s="87">
        <v>0</v>
      </c>
      <c r="I67" s="94" t="s">
        <v>11</v>
      </c>
      <c r="J67" s="88"/>
      <c r="K67" s="96"/>
    </row>
    <row r="68" spans="1:11" x14ac:dyDescent="0.2">
      <c r="A68" s="13" t="s">
        <v>39</v>
      </c>
      <c r="B68" s="17"/>
      <c r="C68" s="17"/>
      <c r="D68" s="88">
        <f>'Finanzbericht 2002'!E68</f>
        <v>3958.1840000000002</v>
      </c>
      <c r="E68" s="41">
        <f>5319.119+435</f>
        <v>5754.1189999999997</v>
      </c>
      <c r="I68" s="97"/>
      <c r="J68" s="88">
        <f>'Finanzbericht 2002'!K68</f>
        <v>923.59583999999995</v>
      </c>
      <c r="K68" s="41">
        <f>399.07364-45.63793-0.33823</f>
        <v>353.09748000000002</v>
      </c>
    </row>
    <row r="69" spans="1:11" ht="13.5" thickBot="1" x14ac:dyDescent="0.25">
      <c r="A69" s="13" t="s">
        <v>38</v>
      </c>
      <c r="B69" s="17"/>
      <c r="C69" s="17"/>
      <c r="D69" s="88">
        <f>'Finanzbericht 2002'!E69</f>
        <v>0</v>
      </c>
      <c r="E69" s="41">
        <v>0</v>
      </c>
      <c r="I69" s="97"/>
      <c r="J69" s="88"/>
      <c r="K69" s="41"/>
    </row>
    <row r="70" spans="1:11" x14ac:dyDescent="0.2">
      <c r="A70" s="84" t="s">
        <v>33</v>
      </c>
      <c r="B70" s="85"/>
      <c r="C70" s="85"/>
      <c r="D70" s="86">
        <f>SUM(D68:D69)</f>
        <v>3958.1840000000002</v>
      </c>
      <c r="E70" s="87">
        <f>SUM(E68:E69)</f>
        <v>5754.1189999999997</v>
      </c>
      <c r="I70" s="94" t="s">
        <v>16</v>
      </c>
      <c r="J70" s="95"/>
      <c r="K70" s="96"/>
    </row>
    <row r="71" spans="1:11" x14ac:dyDescent="0.2">
      <c r="A71" s="13" t="s">
        <v>42</v>
      </c>
      <c r="B71" s="17"/>
      <c r="C71" s="17"/>
      <c r="D71" s="88">
        <f>'Finanzbericht 2002'!E71</f>
        <v>13422.962739999997</v>
      </c>
      <c r="E71" s="41">
        <f>15167.04642-E68+5893.6801</f>
        <v>15306.60752</v>
      </c>
      <c r="I71" s="97"/>
      <c r="J71" s="88">
        <f>'Finanzbericht 2002'!K71</f>
        <v>3504.74665</v>
      </c>
      <c r="K71" s="41">
        <v>3185.62066</v>
      </c>
    </row>
    <row r="72" spans="1:11" ht="13.5" thickBot="1" x14ac:dyDescent="0.25">
      <c r="A72" s="13" t="s">
        <v>37</v>
      </c>
      <c r="B72" s="17"/>
      <c r="C72" s="17"/>
      <c r="D72" s="88">
        <f>'Finanzbericht 2002'!E72</f>
        <v>0</v>
      </c>
      <c r="E72" s="41">
        <v>0</v>
      </c>
      <c r="I72" s="98"/>
      <c r="J72" s="100"/>
      <c r="K72" s="99"/>
    </row>
    <row r="73" spans="1:11" x14ac:dyDescent="0.2">
      <c r="A73" s="13" t="s">
        <v>41</v>
      </c>
      <c r="B73" s="17"/>
      <c r="C73" s="17"/>
      <c r="D73" s="88">
        <f>'Finanzbericht 2002'!E73</f>
        <v>4695.6627799999997</v>
      </c>
      <c r="E73" s="88">
        <f>6164.6779+534.12379</f>
        <v>6698.8016899999993</v>
      </c>
      <c r="I73" s="94" t="s">
        <v>4</v>
      </c>
      <c r="J73" s="88"/>
      <c r="K73" s="96"/>
    </row>
    <row r="74" spans="1:11" s="56" customFormat="1" x14ac:dyDescent="0.2">
      <c r="A74" s="13" t="s">
        <v>40</v>
      </c>
      <c r="B74" s="17"/>
      <c r="C74" s="17"/>
      <c r="D74" s="88">
        <f>'Finanzbericht 2002'!E74</f>
        <v>8967.9774600000001</v>
      </c>
      <c r="E74" s="41">
        <f>1.67251+9100.13683</f>
        <v>9101.8093399999998</v>
      </c>
      <c r="I74" s="97"/>
      <c r="J74" s="88">
        <f>'Finanzbericht 2002'!K74</f>
        <v>2581.1882099999998</v>
      </c>
      <c r="K74" s="41">
        <v>2827.55512</v>
      </c>
    </row>
    <row r="75" spans="1:11" ht="13.5" thickBot="1" x14ac:dyDescent="0.25">
      <c r="A75" s="84" t="s">
        <v>34</v>
      </c>
      <c r="B75" s="85"/>
      <c r="C75" s="85"/>
      <c r="D75" s="86">
        <f>SUM(D71:D74)</f>
        <v>27086.602979999996</v>
      </c>
      <c r="E75" s="87">
        <f>SUM(E71:E74)</f>
        <v>31107.218549999998</v>
      </c>
      <c r="I75" s="101"/>
      <c r="J75" s="100"/>
      <c r="K75" s="99"/>
    </row>
    <row r="76" spans="1:11" ht="16.5" thickBot="1" x14ac:dyDescent="0.3">
      <c r="A76" s="79" t="s">
        <v>35</v>
      </c>
      <c r="B76" s="80"/>
      <c r="C76" s="80"/>
      <c r="D76" s="89">
        <f>D75+D70+D67</f>
        <v>31044.786979999997</v>
      </c>
      <c r="E76" s="90">
        <f>E75+E70+E67</f>
        <v>36861.337549999997</v>
      </c>
      <c r="I76" s="12" t="s">
        <v>9</v>
      </c>
      <c r="J76" s="102"/>
      <c r="K76" s="33"/>
    </row>
    <row r="77" spans="1:11" ht="13.5" thickBot="1" x14ac:dyDescent="0.25">
      <c r="A77" s="8"/>
      <c r="B77" s="8"/>
      <c r="C77" s="8"/>
      <c r="D77" s="8"/>
      <c r="E77" s="91" t="str">
        <f>IF(E76=E66, "i.O.", "Fehler!")</f>
        <v>i.O.</v>
      </c>
      <c r="I77" s="13"/>
      <c r="J77" s="112">
        <f>'Finanzbericht 2002'!K77</f>
        <v>3437.73974</v>
      </c>
      <c r="K77" s="41">
        <f>F30</f>
        <v>7043.5459999999994</v>
      </c>
    </row>
    <row r="78" spans="1:11" ht="13.5" thickBot="1" x14ac:dyDescent="0.25">
      <c r="I78" s="101"/>
      <c r="J78" s="103"/>
      <c r="K78" s="38"/>
    </row>
    <row r="82" spans="1:6" x14ac:dyDescent="0.2">
      <c r="A82" s="17"/>
      <c r="B82" s="17"/>
      <c r="C82" s="17"/>
      <c r="D82" s="30"/>
      <c r="E82" s="30"/>
      <c r="F82" s="4"/>
    </row>
    <row r="83" spans="1:6" x14ac:dyDescent="0.2">
      <c r="A83" s="17"/>
      <c r="B83" s="17"/>
      <c r="C83" s="17"/>
      <c r="D83" s="30"/>
      <c r="E83" s="30"/>
      <c r="F83" s="4"/>
    </row>
    <row r="84" spans="1:6" x14ac:dyDescent="0.2">
      <c r="A84" s="4"/>
      <c r="B84" s="4"/>
      <c r="C84" s="4"/>
      <c r="D84" s="4"/>
      <c r="E84" s="4"/>
      <c r="F84" s="4"/>
    </row>
    <row r="90" spans="1:6" x14ac:dyDescent="0.2">
      <c r="A90" s="64"/>
      <c r="B90" s="4"/>
      <c r="C90" s="4"/>
    </row>
    <row r="91" spans="1:6" x14ac:dyDescent="0.2">
      <c r="A91" s="4"/>
      <c r="B91" s="4"/>
      <c r="C91" s="4"/>
    </row>
    <row r="92" spans="1:6" x14ac:dyDescent="0.2">
      <c r="A92" s="4"/>
      <c r="B92" s="68"/>
      <c r="C92" s="68"/>
    </row>
    <row r="93" spans="1:6" x14ac:dyDescent="0.2">
      <c r="A93" s="4"/>
      <c r="B93" s="4"/>
      <c r="C93" s="4"/>
    </row>
    <row r="94" spans="1:6" x14ac:dyDescent="0.2">
      <c r="A94" s="69"/>
      <c r="B94" s="4"/>
      <c r="C94" s="4"/>
    </row>
    <row r="95" spans="1:6" x14ac:dyDescent="0.2">
      <c r="A95" s="4"/>
      <c r="B95" s="4"/>
      <c r="C95" s="4"/>
    </row>
    <row r="96" spans="1:6" x14ac:dyDescent="0.2">
      <c r="A96" s="4"/>
      <c r="B96" s="67"/>
      <c r="C96" s="67"/>
    </row>
    <row r="97" spans="1:3" x14ac:dyDescent="0.2">
      <c r="A97" s="4"/>
      <c r="B97" s="68"/>
      <c r="C97" s="68"/>
    </row>
    <row r="98" spans="1:3" x14ac:dyDescent="0.2">
      <c r="A98" s="4"/>
      <c r="B98" s="4"/>
      <c r="C98" s="4"/>
    </row>
    <row r="99" spans="1:3" x14ac:dyDescent="0.2">
      <c r="A99" s="4"/>
      <c r="B99" s="4"/>
      <c r="C99" s="4"/>
    </row>
    <row r="100" spans="1:3" x14ac:dyDescent="0.2">
      <c r="A100" s="4"/>
      <c r="B100" s="4"/>
      <c r="C100" s="4"/>
    </row>
    <row r="101" spans="1:3" x14ac:dyDescent="0.2">
      <c r="A101" s="4"/>
      <c r="B101" s="4"/>
      <c r="C101" s="4"/>
    </row>
    <row r="102" spans="1:3" x14ac:dyDescent="0.2">
      <c r="A102" s="4"/>
      <c r="B102" s="4"/>
      <c r="C102" s="4"/>
    </row>
    <row r="103" spans="1:3" x14ac:dyDescent="0.2">
      <c r="A103" s="4"/>
      <c r="B103" s="4"/>
      <c r="C103" s="4"/>
    </row>
    <row r="104" spans="1:3" x14ac:dyDescent="0.2">
      <c r="A104" s="4"/>
      <c r="B104" s="68"/>
      <c r="C104" s="68"/>
    </row>
    <row r="105" spans="1:3" x14ac:dyDescent="0.2">
      <c r="A105" s="4"/>
      <c r="B105" s="67"/>
      <c r="C105" s="67"/>
    </row>
    <row r="106" spans="1:3" x14ac:dyDescent="0.2">
      <c r="A106" s="4"/>
      <c r="B106" s="4"/>
      <c r="C106" s="4"/>
    </row>
    <row r="107" spans="1:3" x14ac:dyDescent="0.2">
      <c r="A107" s="4"/>
      <c r="B107" s="4"/>
      <c r="C107" s="4"/>
    </row>
    <row r="108" spans="1:3" x14ac:dyDescent="0.2">
      <c r="A108" s="64"/>
      <c r="B108" s="4"/>
      <c r="C108" s="4"/>
    </row>
    <row r="109" spans="1:3" x14ac:dyDescent="0.2">
      <c r="A109" s="4"/>
      <c r="B109" s="4"/>
      <c r="C109" s="4"/>
    </row>
    <row r="110" spans="1:3" x14ac:dyDescent="0.2">
      <c r="A110" s="4"/>
      <c r="B110" s="68"/>
      <c r="C110" s="68"/>
    </row>
    <row r="111" spans="1:3" x14ac:dyDescent="0.2">
      <c r="A111" s="4"/>
      <c r="B111" s="67"/>
      <c r="C111" s="67"/>
    </row>
    <row r="112" spans="1:3" x14ac:dyDescent="0.2">
      <c r="A112" s="4"/>
      <c r="B112" s="4"/>
      <c r="C112" s="4"/>
    </row>
    <row r="113" spans="1:3" x14ac:dyDescent="0.2">
      <c r="A113" s="4"/>
      <c r="B113" s="4"/>
      <c r="C113" s="4"/>
    </row>
    <row r="114" spans="1:3" x14ac:dyDescent="0.2">
      <c r="A114" s="64"/>
      <c r="B114" s="4"/>
      <c r="C114" s="4"/>
    </row>
    <row r="115" spans="1:3" x14ac:dyDescent="0.2">
      <c r="A115" s="4"/>
      <c r="B115" s="4"/>
      <c r="C115" s="4"/>
    </row>
    <row r="116" spans="1:3" x14ac:dyDescent="0.2">
      <c r="A116" s="4"/>
      <c r="B116" s="68"/>
      <c r="C116" s="68"/>
    </row>
    <row r="117" spans="1:3" x14ac:dyDescent="0.2">
      <c r="A117" s="4"/>
      <c r="B117" s="67"/>
      <c r="C117" s="67"/>
    </row>
    <row r="118" spans="1:3" x14ac:dyDescent="0.2">
      <c r="A118" s="4"/>
      <c r="B118" s="4"/>
      <c r="C118" s="4"/>
    </row>
    <row r="119" spans="1:3" x14ac:dyDescent="0.2">
      <c r="A119" s="4"/>
      <c r="B119" s="4"/>
      <c r="C119" s="4"/>
    </row>
    <row r="120" spans="1:3" x14ac:dyDescent="0.2">
      <c r="A120" s="64"/>
      <c r="B120" s="4"/>
      <c r="C120" s="4"/>
    </row>
    <row r="121" spans="1:3" x14ac:dyDescent="0.2">
      <c r="A121" s="4"/>
      <c r="B121" s="4"/>
      <c r="C121" s="4"/>
    </row>
    <row r="122" spans="1:3" x14ac:dyDescent="0.2">
      <c r="A122" s="65"/>
      <c r="B122" s="66"/>
      <c r="C122" s="65"/>
    </row>
    <row r="123" spans="1:3" x14ac:dyDescent="0.2">
      <c r="A123" s="65"/>
      <c r="B123" s="66"/>
      <c r="C123" s="65"/>
    </row>
    <row r="124" spans="1:3" x14ac:dyDescent="0.2">
      <c r="A124" s="65"/>
      <c r="B124" s="65"/>
      <c r="C124" s="65"/>
    </row>
    <row r="125" spans="1:3" x14ac:dyDescent="0.2">
      <c r="A125" s="4"/>
      <c r="B125" s="4"/>
      <c r="C125" s="4"/>
    </row>
    <row r="126" spans="1:3" x14ac:dyDescent="0.2">
      <c r="A126" s="4"/>
      <c r="B126" s="4"/>
      <c r="C126" s="4"/>
    </row>
    <row r="127" spans="1:3" x14ac:dyDescent="0.2">
      <c r="A127" s="70"/>
      <c r="B127" s="71"/>
      <c r="C127" s="4"/>
    </row>
  </sheetData>
  <mergeCells count="10">
    <mergeCell ref="I41:K41"/>
    <mergeCell ref="A50:C50"/>
    <mergeCell ref="D50:H50"/>
    <mergeCell ref="I59:K59"/>
    <mergeCell ref="I5:K5"/>
    <mergeCell ref="I7:K7"/>
    <mergeCell ref="I8:K8"/>
    <mergeCell ref="I14:K14"/>
    <mergeCell ref="I23:K23"/>
    <mergeCell ref="I32:K32"/>
  </mergeCells>
  <printOptions horizontalCentered="1" gridLinesSet="0"/>
  <pageMargins left="0.78740157480314965" right="0.59055118110236227" top="0.78740157480314965" bottom="0.78740157480314965" header="0.51181102362204722" footer="0.51181102362204722"/>
  <pageSetup paperSize="9" scale="71" orientation="portrait" horizontalDpi="300" r:id="rId1"/>
  <headerFooter alignWithMargins="0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Q127"/>
  <sheetViews>
    <sheetView showGridLines="0" topLeftCell="A16" zoomScale="110" zoomScaleNormal="110" workbookViewId="0">
      <selection activeCell="C56" sqref="C56"/>
    </sheetView>
  </sheetViews>
  <sheetFormatPr baseColWidth="10" defaultRowHeight="12.75" x14ac:dyDescent="0.2"/>
  <cols>
    <col min="1" max="1" width="11.7109375" style="2" customWidth="1"/>
    <col min="2" max="2" width="8.28515625" style="2" customWidth="1"/>
    <col min="3" max="3" width="11.85546875" style="2" customWidth="1"/>
    <col min="4" max="4" width="11.42578125" style="2"/>
    <col min="5" max="5" width="10.42578125" style="2" customWidth="1"/>
    <col min="6" max="6" width="9.42578125" style="2" customWidth="1"/>
    <col min="7" max="7" width="1.28515625" style="2" customWidth="1"/>
    <col min="8" max="8" width="3.42578125" style="2" customWidth="1"/>
    <col min="9" max="9" width="8.7109375" style="2" customWidth="1"/>
    <col min="10" max="10" width="10.5703125" style="2" customWidth="1"/>
    <col min="11" max="11" width="9.42578125" style="2" customWidth="1"/>
    <col min="12" max="16384" width="11.42578125" style="2"/>
  </cols>
  <sheetData>
    <row r="1" spans="1:17" ht="20.25" x14ac:dyDescent="0.3">
      <c r="A1" s="55" t="s">
        <v>58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pans="1:17" s="1" customFormat="1" x14ac:dyDescent="0.2">
      <c r="A2" s="6"/>
      <c r="B2" s="7"/>
      <c r="C2" s="7"/>
      <c r="D2" s="7"/>
      <c r="E2" s="7"/>
      <c r="F2" s="7"/>
      <c r="G2" s="7"/>
      <c r="H2" s="7"/>
      <c r="I2" s="7"/>
      <c r="J2" s="7"/>
      <c r="K2" s="7"/>
    </row>
    <row r="3" spans="1:17" s="1" customFormat="1" x14ac:dyDescent="0.2">
      <c r="A3" s="6"/>
      <c r="B3" s="7"/>
      <c r="C3" s="7"/>
      <c r="D3" s="7"/>
      <c r="E3" s="7"/>
      <c r="F3" s="7"/>
      <c r="G3" s="7"/>
      <c r="H3" s="7"/>
      <c r="I3" s="7"/>
      <c r="J3" s="7"/>
      <c r="K3" s="7"/>
      <c r="L3" s="76" t="str">
        <f>IF(C20=F20,"i.O.","Fehler!")</f>
        <v>i.O.</v>
      </c>
    </row>
    <row r="4" spans="1:17" ht="13.5" thickBot="1" x14ac:dyDescent="0.25">
      <c r="A4" s="8"/>
      <c r="B4" s="8"/>
      <c r="C4" s="8"/>
      <c r="D4" s="8"/>
      <c r="E4" s="8"/>
      <c r="F4" s="8"/>
      <c r="G4" s="8"/>
      <c r="H4" s="8"/>
      <c r="I4" s="8"/>
      <c r="J4" s="8"/>
      <c r="K4" s="8"/>
    </row>
    <row r="5" spans="1:17" ht="15.75" x14ac:dyDescent="0.25">
      <c r="A5" s="47" t="s">
        <v>1</v>
      </c>
      <c r="B5" s="48"/>
      <c r="C5" s="48"/>
      <c r="D5" s="48"/>
      <c r="E5" s="48"/>
      <c r="F5" s="49"/>
      <c r="G5" s="8"/>
      <c r="H5" s="8"/>
      <c r="I5" s="149" t="s">
        <v>15</v>
      </c>
      <c r="J5" s="150"/>
      <c r="K5" s="151"/>
      <c r="N5" s="4"/>
      <c r="O5" s="64"/>
      <c r="P5" s="4"/>
      <c r="Q5" s="4"/>
    </row>
    <row r="6" spans="1:17" ht="15.75" x14ac:dyDescent="0.25">
      <c r="A6" s="50"/>
      <c r="B6" s="19"/>
      <c r="C6" s="19"/>
      <c r="D6" s="19"/>
      <c r="E6" s="19"/>
      <c r="F6" s="20"/>
      <c r="G6" s="8"/>
      <c r="H6" s="8"/>
      <c r="I6" s="110" t="s">
        <v>51</v>
      </c>
      <c r="J6" s="17"/>
      <c r="K6" s="23"/>
      <c r="N6" s="4"/>
      <c r="O6" s="4"/>
      <c r="P6" s="4"/>
      <c r="Q6" s="4"/>
    </row>
    <row r="7" spans="1:17" ht="13.5" thickBot="1" x14ac:dyDescent="0.25">
      <c r="A7" s="51" t="s">
        <v>2</v>
      </c>
      <c r="B7" s="19" t="s">
        <v>14</v>
      </c>
      <c r="C7" s="19"/>
      <c r="D7" s="52" t="s">
        <v>3</v>
      </c>
      <c r="E7" s="19" t="s">
        <v>14</v>
      </c>
      <c r="F7" s="20"/>
      <c r="G7" s="8"/>
      <c r="H7" s="8"/>
      <c r="I7" s="155" t="s">
        <v>16</v>
      </c>
      <c r="J7" s="156"/>
      <c r="K7" s="157"/>
      <c r="N7" s="4"/>
      <c r="O7" s="65"/>
      <c r="P7" s="65"/>
      <c r="Q7" s="65"/>
    </row>
    <row r="8" spans="1:17" x14ac:dyDescent="0.2">
      <c r="A8" s="12" t="s">
        <v>25</v>
      </c>
      <c r="B8" s="11"/>
      <c r="C8" s="11">
        <f>-F40</f>
        <v>893.9341000000004</v>
      </c>
      <c r="D8" s="12" t="s">
        <v>26</v>
      </c>
      <c r="E8" s="11"/>
      <c r="F8" s="33">
        <f>F26</f>
        <v>2581.1882099999998</v>
      </c>
      <c r="G8" s="8"/>
      <c r="H8" s="8"/>
      <c r="I8" s="152" t="s">
        <v>53</v>
      </c>
      <c r="J8" s="153"/>
      <c r="K8" s="154"/>
      <c r="N8" s="4"/>
      <c r="O8" s="65"/>
      <c r="P8" s="66"/>
      <c r="Q8" s="65"/>
    </row>
    <row r="9" spans="1:17" x14ac:dyDescent="0.2">
      <c r="A9" s="13" t="str">
        <f>IF(F32&lt;0,"Zunahme Debitoren","")</f>
        <v/>
      </c>
      <c r="B9" s="17"/>
      <c r="C9" s="17" t="str">
        <f>IF(F32&lt;0,-F32,"")</f>
        <v/>
      </c>
      <c r="D9" s="13" t="s">
        <v>5</v>
      </c>
      <c r="E9" s="17"/>
      <c r="F9" s="23">
        <f>F27</f>
        <v>788.31152999999995</v>
      </c>
      <c r="G9" s="8"/>
      <c r="H9" s="8"/>
      <c r="I9" s="13"/>
      <c r="J9" s="17"/>
      <c r="K9" s="23"/>
      <c r="N9" s="4"/>
      <c r="O9" s="65"/>
      <c r="P9" s="65"/>
      <c r="Q9" s="65"/>
    </row>
    <row r="10" spans="1:17" x14ac:dyDescent="0.2">
      <c r="A10" s="13" t="str">
        <f>IF(F33&lt;0,"Zunahme Bestände","")</f>
        <v/>
      </c>
      <c r="B10" s="17"/>
      <c r="C10" s="17" t="str">
        <f>IF(F33&lt;0,-F33,"")</f>
        <v/>
      </c>
      <c r="D10" s="34" t="s">
        <v>52</v>
      </c>
      <c r="E10" s="9"/>
      <c r="F10" s="35">
        <f>F28</f>
        <v>68.240000000000236</v>
      </c>
      <c r="G10" s="8"/>
      <c r="H10" s="8"/>
      <c r="I10" s="107" t="str">
        <f>I19</f>
        <v>Vorjahr</v>
      </c>
      <c r="J10" s="17"/>
      <c r="K10" s="108">
        <f>K19</f>
        <v>2002</v>
      </c>
      <c r="N10" s="4"/>
      <c r="O10" s="4"/>
      <c r="P10" s="4"/>
      <c r="Q10" s="4"/>
    </row>
    <row r="11" spans="1:17" ht="13.5" thickBot="1" x14ac:dyDescent="0.25">
      <c r="A11" s="13" t="str">
        <f>IF(F34&lt;0,"Abnahme Anzahlungen","")</f>
        <v/>
      </c>
      <c r="B11" s="17"/>
      <c r="C11" s="23" t="str">
        <f>IF(F34&lt;0,-F34,"")</f>
        <v/>
      </c>
      <c r="D11" s="57" t="s">
        <v>6</v>
      </c>
      <c r="E11" s="58"/>
      <c r="F11" s="23">
        <f>SUM(F8:F10)</f>
        <v>3437.73974</v>
      </c>
      <c r="G11" s="8"/>
      <c r="H11" s="8"/>
      <c r="I11" s="104">
        <f>J71/D76</f>
        <v>0.14342352229074157</v>
      </c>
      <c r="J11" s="36"/>
      <c r="K11" s="60">
        <f>K71/((E76))</f>
        <v>0.11289324202024209</v>
      </c>
      <c r="N11" s="4"/>
      <c r="O11" s="65"/>
      <c r="P11" s="65"/>
      <c r="Q11" s="65"/>
    </row>
    <row r="12" spans="1:17" x14ac:dyDescent="0.2">
      <c r="A12" s="13" t="str">
        <f>IF(F35&lt;0,"Abn. Rückstellungen","")</f>
        <v/>
      </c>
      <c r="B12" s="17"/>
      <c r="C12" s="23" t="str">
        <f>IF(F35&lt;0,-F35,"")</f>
        <v/>
      </c>
      <c r="D12" s="13" t="str">
        <f>IF(F32&gt;0,"Abnahme Debitoren","")</f>
        <v>Abnahme Debitoren</v>
      </c>
      <c r="E12" s="17"/>
      <c r="F12" s="23">
        <f>IF(F32&gt;0,F32,"")</f>
        <v>3987.2973899999961</v>
      </c>
      <c r="G12" s="8"/>
      <c r="H12" s="8"/>
      <c r="I12" s="111" t="s">
        <v>57</v>
      </c>
      <c r="J12" s="8"/>
      <c r="K12" s="8"/>
      <c r="N12" s="4"/>
      <c r="O12" s="65"/>
      <c r="P12" s="65"/>
      <c r="Q12" s="65"/>
    </row>
    <row r="13" spans="1:17" ht="13.5" thickBot="1" x14ac:dyDescent="0.25">
      <c r="A13" s="13" t="str">
        <f>IF(F36&lt;0,"Abnahme Kreditoren","")</f>
        <v/>
      </c>
      <c r="B13" s="17"/>
      <c r="C13" s="23" t="str">
        <f>IF(F36&lt;0,-F36,"")</f>
        <v/>
      </c>
      <c r="D13" s="13" t="str">
        <f>IF(F33&gt;0,"Bestandsabbau","")</f>
        <v>Bestandsabbau</v>
      </c>
      <c r="E13" s="17"/>
      <c r="F13" s="23">
        <f>IF(F33&gt;0,F33,"")</f>
        <v>3511.37158</v>
      </c>
      <c r="G13" s="8"/>
      <c r="H13" s="8"/>
      <c r="I13" s="8"/>
      <c r="J13" s="8"/>
      <c r="K13" s="8"/>
      <c r="N13" s="4"/>
      <c r="O13" s="4"/>
      <c r="P13" s="4"/>
      <c r="Q13" s="4"/>
    </row>
    <row r="14" spans="1:17" x14ac:dyDescent="0.2">
      <c r="A14" s="13" t="str">
        <f>IF(F47&gt;0,"Aufbau FlüMi","")</f>
        <v>Aufbau FlüMi</v>
      </c>
      <c r="B14" s="17"/>
      <c r="C14" s="23">
        <f>IF(F47&gt;0,F47,"")</f>
        <v>2527.5765199999933</v>
      </c>
      <c r="D14" s="13" t="str">
        <f>IF(F34&gt;0,"Zunahme Anzahlungen","")</f>
        <v/>
      </c>
      <c r="E14" s="17"/>
      <c r="F14" s="23" t="str">
        <f>IF(F34&gt;0,F34,"")</f>
        <v/>
      </c>
      <c r="G14" s="8"/>
      <c r="H14" s="8"/>
      <c r="I14" s="149" t="s">
        <v>46</v>
      </c>
      <c r="J14" s="150"/>
      <c r="K14" s="151"/>
      <c r="N14" s="4"/>
      <c r="O14" s="67"/>
      <c r="P14" s="67"/>
      <c r="Q14" s="67"/>
    </row>
    <row r="15" spans="1:17" x14ac:dyDescent="0.2">
      <c r="A15" s="13" t="str">
        <f>IF(F43&lt;0,"Abn. lafri Schulden","")</f>
        <v/>
      </c>
      <c r="B15" s="17"/>
      <c r="C15" s="23" t="str">
        <f>IF(F43&lt;0,-F43,"")</f>
        <v/>
      </c>
      <c r="D15" s="13" t="str">
        <f>IF(F35&gt;0,"Zunahme Rückstellungen","")</f>
        <v>Zunahme Rückstellungen</v>
      </c>
      <c r="E15" s="17"/>
      <c r="F15" s="23">
        <f>IF(F35&gt;0,F35,"")</f>
        <v>794.21450999999979</v>
      </c>
      <c r="G15" s="8"/>
      <c r="H15" s="8"/>
      <c r="I15" s="13"/>
      <c r="J15" s="17"/>
      <c r="K15" s="23"/>
      <c r="N15" s="4"/>
      <c r="O15" s="67"/>
      <c r="P15" s="67"/>
      <c r="Q15" s="67"/>
    </row>
    <row r="16" spans="1:17" x14ac:dyDescent="0.2">
      <c r="A16" s="13" t="str">
        <f>IF(F44&lt;0,"Abn. kufri Schulden","")</f>
        <v>Abn. kufri Schulden</v>
      </c>
      <c r="B16" s="17"/>
      <c r="C16" s="23">
        <f>IF(F44&lt;0,-F44,"")</f>
        <v>9611.4006400000017</v>
      </c>
      <c r="D16" s="13" t="str">
        <f>IF(F36&gt;0,"Zunahme Kreditoren","")</f>
        <v>Zunahme Kreditoren</v>
      </c>
      <c r="E16" s="17"/>
      <c r="F16" s="23">
        <f>IF(F36&gt;0,F36,"")</f>
        <v>1302.2880399999995</v>
      </c>
      <c r="G16" s="8"/>
      <c r="H16" s="8"/>
      <c r="I16" s="13"/>
      <c r="J16" s="37" t="s">
        <v>9</v>
      </c>
      <c r="K16" s="23"/>
    </row>
    <row r="17" spans="1:14" x14ac:dyDescent="0.2">
      <c r="A17" s="13"/>
      <c r="B17" s="17"/>
      <c r="C17" s="17"/>
      <c r="D17" s="13" t="str">
        <f>IF(F47&lt;0,"Abbau FlüMi","")</f>
        <v/>
      </c>
      <c r="E17" s="17"/>
      <c r="F17" s="23" t="str">
        <f>IF(F47&lt;0,-F47,"")</f>
        <v/>
      </c>
      <c r="G17" s="8"/>
      <c r="H17" s="8"/>
      <c r="I17" s="13"/>
      <c r="J17" s="30" t="s">
        <v>0</v>
      </c>
      <c r="K17" s="23"/>
    </row>
    <row r="18" spans="1:14" x14ac:dyDescent="0.2">
      <c r="A18" s="13"/>
      <c r="B18" s="17"/>
      <c r="C18" s="17"/>
      <c r="D18" s="13" t="str">
        <f>IF(F43&gt;0,"Zunahme lafri Schulden","")</f>
        <v/>
      </c>
      <c r="E18" s="17"/>
      <c r="F18" s="23" t="str">
        <f>IF(F43&gt;0,F43,"")</f>
        <v/>
      </c>
      <c r="G18" s="8"/>
      <c r="H18" s="8"/>
      <c r="I18" s="13"/>
      <c r="J18" s="17"/>
      <c r="K18" s="23"/>
    </row>
    <row r="19" spans="1:14" ht="13.5" thickBot="1" x14ac:dyDescent="0.25">
      <c r="A19" s="13"/>
      <c r="B19" s="17"/>
      <c r="C19" s="59"/>
      <c r="D19" s="13" t="str">
        <f>IF(F44&gt;0,"Zunahme kufri Schulden","")</f>
        <v/>
      </c>
      <c r="E19" s="17"/>
      <c r="F19" s="59" t="str">
        <f>IF(F44&gt;0,F44,"")</f>
        <v/>
      </c>
      <c r="G19" s="8"/>
      <c r="H19" s="8"/>
      <c r="I19" s="107" t="str">
        <f>I37</f>
        <v>Vorjahr</v>
      </c>
      <c r="J19" s="17"/>
      <c r="K19" s="108">
        <f>K37</f>
        <v>2002</v>
      </c>
    </row>
    <row r="20" spans="1:14" ht="14.25" thickTop="1" thickBot="1" x14ac:dyDescent="0.25">
      <c r="A20" s="73"/>
      <c r="B20" s="74"/>
      <c r="C20" s="74">
        <f>SUM(C8:C19)</f>
        <v>13032.911259999995</v>
      </c>
      <c r="D20" s="73"/>
      <c r="E20" s="74"/>
      <c r="F20" s="75">
        <f>SUM(F11:F19)</f>
        <v>13032.911259999995</v>
      </c>
      <c r="G20" s="8"/>
      <c r="H20" s="8"/>
      <c r="I20" s="104">
        <f>J77/J62</f>
        <v>6.2968904770132131E-2</v>
      </c>
      <c r="J20" s="36"/>
      <c r="K20" s="105">
        <f>F30/K62</f>
        <v>4.0952879181265674E-2</v>
      </c>
    </row>
    <row r="21" spans="1:14" x14ac:dyDescent="0.2">
      <c r="B21" s="8"/>
      <c r="C21" s="8"/>
      <c r="D21" s="8"/>
      <c r="E21" s="8"/>
      <c r="F21" s="8"/>
      <c r="G21" s="8"/>
      <c r="H21" s="8"/>
      <c r="I21" s="8"/>
      <c r="J21" s="8"/>
      <c r="K21" s="8"/>
    </row>
    <row r="22" spans="1:14" ht="13.5" thickBot="1" x14ac:dyDescent="0.25">
      <c r="B22" s="8"/>
      <c r="C22" s="8"/>
      <c r="D22" s="8"/>
      <c r="E22" s="8"/>
      <c r="F22" s="8"/>
      <c r="G22" s="8"/>
      <c r="H22" s="8"/>
      <c r="I22" s="8"/>
      <c r="J22" s="8"/>
      <c r="K22" s="8"/>
    </row>
    <row r="23" spans="1:14" ht="16.5" thickBot="1" x14ac:dyDescent="0.3">
      <c r="A23" s="53" t="s">
        <v>24</v>
      </c>
      <c r="B23" s="3"/>
      <c r="C23" s="3"/>
      <c r="D23" s="3"/>
      <c r="E23" s="3"/>
      <c r="F23" s="54"/>
      <c r="G23" s="8"/>
      <c r="H23" s="8"/>
      <c r="I23" s="149" t="s">
        <v>45</v>
      </c>
      <c r="J23" s="150"/>
      <c r="K23" s="151"/>
    </row>
    <row r="24" spans="1:14" ht="13.5" thickBot="1" x14ac:dyDescent="0.25">
      <c r="A24" s="15"/>
      <c r="B24" s="16"/>
      <c r="C24" s="16"/>
      <c r="D24" s="16"/>
      <c r="E24" s="16"/>
      <c r="F24" s="78">
        <f>E60</f>
        <v>2002</v>
      </c>
      <c r="G24" s="8"/>
      <c r="H24" s="8"/>
      <c r="I24" s="13"/>
      <c r="J24" s="17"/>
      <c r="K24" s="23"/>
    </row>
    <row r="25" spans="1:14" x14ac:dyDescent="0.2">
      <c r="A25" s="13"/>
      <c r="B25" s="17"/>
      <c r="C25" s="17"/>
      <c r="D25" s="17"/>
      <c r="E25" s="17"/>
      <c r="F25" s="18"/>
      <c r="G25" s="8"/>
      <c r="H25" s="8"/>
      <c r="I25" s="13"/>
      <c r="J25" s="21" t="s">
        <v>16</v>
      </c>
      <c r="K25" s="23"/>
      <c r="M25" s="62"/>
    </row>
    <row r="26" spans="1:14" x14ac:dyDescent="0.2">
      <c r="A26" s="13" t="s">
        <v>26</v>
      </c>
      <c r="B26" s="17"/>
      <c r="C26" s="17"/>
      <c r="D26" s="17"/>
      <c r="E26" s="17"/>
      <c r="F26" s="22">
        <f>$K74</f>
        <v>2581.1882099999998</v>
      </c>
      <c r="G26" s="8"/>
      <c r="H26" s="8"/>
      <c r="I26" s="13"/>
      <c r="J26" s="30" t="s">
        <v>11</v>
      </c>
      <c r="K26" s="23"/>
    </row>
    <row r="27" spans="1:14" x14ac:dyDescent="0.2">
      <c r="A27" s="13" t="s">
        <v>5</v>
      </c>
      <c r="B27" s="17"/>
      <c r="C27" s="17"/>
      <c r="D27" s="17"/>
      <c r="E27" s="17"/>
      <c r="F27" s="22">
        <f>$K65</f>
        <v>788.31152999999995</v>
      </c>
      <c r="G27" s="8"/>
      <c r="H27" s="8"/>
      <c r="I27" s="13"/>
      <c r="J27" s="17"/>
      <c r="K27" s="23"/>
    </row>
    <row r="28" spans="1:14" x14ac:dyDescent="0.2">
      <c r="A28" s="13" t="s">
        <v>44</v>
      </c>
      <c r="B28" s="17"/>
      <c r="C28" s="17"/>
      <c r="D28" s="17"/>
      <c r="E28" s="17"/>
      <c r="F28" s="22">
        <f>$E68-$D68</f>
        <v>68.240000000000236</v>
      </c>
      <c r="G28" s="8"/>
      <c r="H28" s="8"/>
      <c r="I28" s="107" t="str">
        <f>I37</f>
        <v>Vorjahr</v>
      </c>
      <c r="J28" s="17"/>
      <c r="K28" s="108">
        <f>K46</f>
        <v>2002</v>
      </c>
    </row>
    <row r="29" spans="1:14" ht="13.5" thickBot="1" x14ac:dyDescent="0.25">
      <c r="A29" s="13"/>
      <c r="B29" s="17"/>
      <c r="C29" s="17"/>
      <c r="D29" s="17"/>
      <c r="E29" s="17"/>
      <c r="F29" s="22"/>
      <c r="G29" s="8"/>
      <c r="H29" s="8"/>
      <c r="I29" s="77">
        <f>J71/J68</f>
        <v>3.5474544978049343</v>
      </c>
      <c r="J29" s="36"/>
      <c r="K29" s="63">
        <f>K71/K68</f>
        <v>3.7946756559665755</v>
      </c>
    </row>
    <row r="30" spans="1:14" x14ac:dyDescent="0.2">
      <c r="A30" s="24" t="s">
        <v>6</v>
      </c>
      <c r="B30" s="14"/>
      <c r="C30" s="14"/>
      <c r="D30" s="14"/>
      <c r="E30" s="14"/>
      <c r="F30" s="25">
        <f>SUM(F26:F28)</f>
        <v>3437.73974</v>
      </c>
      <c r="G30" s="8"/>
      <c r="H30" s="8"/>
      <c r="I30" s="8"/>
      <c r="J30" s="8"/>
      <c r="K30" s="8"/>
    </row>
    <row r="31" spans="1:14" ht="13.5" thickBot="1" x14ac:dyDescent="0.25">
      <c r="A31" s="13"/>
      <c r="B31" s="17"/>
      <c r="C31" s="17"/>
      <c r="D31" s="17"/>
      <c r="E31" s="17"/>
      <c r="F31" s="22"/>
      <c r="G31" s="8"/>
      <c r="H31" s="8"/>
      <c r="I31" s="8"/>
      <c r="J31" s="8"/>
      <c r="K31" s="8"/>
    </row>
    <row r="32" spans="1:14" x14ac:dyDescent="0.2">
      <c r="A32" s="26" t="str">
        <f>IF(D63-E63&lt;0,"- zunehmende Debitoren","+ abnehmende Debitoren")</f>
        <v>+ abnehmende Debitoren</v>
      </c>
      <c r="B32" s="17"/>
      <c r="C32" s="17"/>
      <c r="D32" s="17"/>
      <c r="E32" s="17"/>
      <c r="F32" s="22">
        <f>$D63-$E63</f>
        <v>3987.2973899999961</v>
      </c>
      <c r="G32" s="8"/>
      <c r="H32" s="8"/>
      <c r="I32" s="149" t="s">
        <v>17</v>
      </c>
      <c r="J32" s="150"/>
      <c r="K32" s="151"/>
      <c r="L32"/>
      <c r="M32"/>
      <c r="N32"/>
    </row>
    <row r="33" spans="1:14" x14ac:dyDescent="0.2">
      <c r="A33" s="26" t="str">
        <f>IF(D64-E64&lt;0,"- zunehmende Bestände","+ abnehmende Bestände")</f>
        <v>+ abnehmende Bestände</v>
      </c>
      <c r="B33" s="17"/>
      <c r="C33" s="17"/>
      <c r="D33" s="17"/>
      <c r="E33" s="17"/>
      <c r="F33" s="22">
        <f>$D64-$E64</f>
        <v>3511.37158</v>
      </c>
      <c r="G33" s="8"/>
      <c r="H33" s="8"/>
      <c r="I33" s="13"/>
      <c r="J33" s="17"/>
      <c r="K33" s="23"/>
      <c r="L33"/>
      <c r="M33"/>
      <c r="N33"/>
    </row>
    <row r="34" spans="1:14" x14ac:dyDescent="0.2">
      <c r="A34" s="26" t="str">
        <f>IF(E72-D72&gt;0,"+ zunehmende Anzahlungen","- abnehmende Anzahlungen")</f>
        <v>- abnehmende Anzahlungen</v>
      </c>
      <c r="B34" s="17"/>
      <c r="C34" s="17"/>
      <c r="D34" s="17"/>
      <c r="E34" s="17"/>
      <c r="F34" s="22">
        <f>$E72-$D72</f>
        <v>0</v>
      </c>
      <c r="G34" s="8"/>
      <c r="H34" s="8"/>
      <c r="I34" s="13"/>
      <c r="J34" s="10" t="s">
        <v>16</v>
      </c>
      <c r="K34" s="23"/>
    </row>
    <row r="35" spans="1:14" x14ac:dyDescent="0.2">
      <c r="A35" s="26" t="str">
        <f>IF(E71-D71&lt;0,"- abnehmende Rückstellungen","+ zunehmende Rückstellungen")</f>
        <v>+ zunehmende Rückstellungen</v>
      </c>
      <c r="B35" s="17"/>
      <c r="C35" s="17"/>
      <c r="D35" s="17"/>
      <c r="E35" s="17"/>
      <c r="F35" s="22">
        <f>$E71-$D71</f>
        <v>794.21450999999979</v>
      </c>
      <c r="G35" s="8"/>
      <c r="H35" s="8"/>
      <c r="I35" s="13"/>
      <c r="J35" s="30" t="s">
        <v>0</v>
      </c>
      <c r="K35" s="23"/>
    </row>
    <row r="36" spans="1:14" x14ac:dyDescent="0.2">
      <c r="A36" s="26" t="str">
        <f>IF(E73-D73&gt;0,"+ zunehmende Kreditoren","- abnehmende Kreditoren")</f>
        <v>+ zunehmende Kreditoren</v>
      </c>
      <c r="B36" s="17"/>
      <c r="C36" s="17"/>
      <c r="D36" s="17"/>
      <c r="E36" s="17"/>
      <c r="F36" s="22">
        <f>$E73-$D73</f>
        <v>1302.2880399999995</v>
      </c>
      <c r="G36" s="8"/>
      <c r="H36" s="8"/>
      <c r="I36" s="13"/>
      <c r="J36" s="17"/>
      <c r="K36" s="23"/>
    </row>
    <row r="37" spans="1:14" x14ac:dyDescent="0.2">
      <c r="A37" s="14" t="s">
        <v>55</v>
      </c>
      <c r="B37" s="14"/>
      <c r="C37" s="14"/>
      <c r="D37" s="14"/>
      <c r="E37" s="14"/>
      <c r="F37" s="25">
        <f>SUM(F32:F36)</f>
        <v>9595.1715199999962</v>
      </c>
      <c r="G37" s="8"/>
      <c r="H37" s="8"/>
      <c r="I37" s="107" t="str">
        <f>D60</f>
        <v>Vorjahr</v>
      </c>
      <c r="J37" s="17"/>
      <c r="K37" s="108">
        <f>E60</f>
        <v>2002</v>
      </c>
    </row>
    <row r="38" spans="1:14" ht="13.5" thickBot="1" x14ac:dyDescent="0.25">
      <c r="A38" s="24" t="s">
        <v>7</v>
      </c>
      <c r="B38" s="14"/>
      <c r="C38" s="14"/>
      <c r="D38" s="14"/>
      <c r="E38" s="14"/>
      <c r="F38" s="25">
        <f>SUM(F30:F36)</f>
        <v>13032.911259999995</v>
      </c>
      <c r="G38" s="8"/>
      <c r="H38" s="8"/>
      <c r="I38" s="104">
        <f>J71/J62</f>
        <v>6.9954564938628228E-2</v>
      </c>
      <c r="J38" s="36"/>
      <c r="K38" s="105">
        <f>K71/K62</f>
        <v>4.1751114678156412E-2</v>
      </c>
    </row>
    <row r="39" spans="1:14" x14ac:dyDescent="0.2">
      <c r="A39" s="13"/>
      <c r="B39" s="17"/>
      <c r="C39" s="17"/>
      <c r="D39" s="17"/>
      <c r="E39" s="17"/>
      <c r="F39" s="22"/>
      <c r="G39" s="8"/>
      <c r="H39" s="8"/>
      <c r="I39" s="8"/>
      <c r="J39" s="8"/>
      <c r="K39" s="8"/>
    </row>
    <row r="40" spans="1:14" ht="13.5" thickBot="1" x14ac:dyDescent="0.25">
      <c r="A40" s="13" t="s">
        <v>54</v>
      </c>
      <c r="B40" s="17"/>
      <c r="C40" s="17"/>
      <c r="D40" s="17"/>
      <c r="E40" s="17"/>
      <c r="F40" s="22">
        <f>-$E61+$D61-$K65</f>
        <v>-893.9341000000004</v>
      </c>
      <c r="G40" s="8"/>
      <c r="H40" s="8"/>
      <c r="I40" s="8"/>
      <c r="J40" s="8"/>
      <c r="K40" s="8"/>
    </row>
    <row r="41" spans="1:14" x14ac:dyDescent="0.2">
      <c r="A41" s="24" t="s">
        <v>8</v>
      </c>
      <c r="B41" s="14"/>
      <c r="C41" s="14"/>
      <c r="D41" s="14"/>
      <c r="E41" s="14"/>
      <c r="F41" s="25">
        <f>F38+F40</f>
        <v>12138.977159999995</v>
      </c>
      <c r="G41" s="8"/>
      <c r="H41" s="8"/>
      <c r="I41" s="160" t="s">
        <v>47</v>
      </c>
      <c r="J41" s="161"/>
      <c r="K41" s="162"/>
    </row>
    <row r="42" spans="1:14" x14ac:dyDescent="0.2">
      <c r="A42" s="26"/>
      <c r="B42" s="17"/>
      <c r="C42" s="17"/>
      <c r="D42" s="17"/>
      <c r="E42" s="17"/>
      <c r="F42" s="22"/>
      <c r="G42" s="8"/>
      <c r="H42" s="8"/>
      <c r="I42" s="13"/>
      <c r="J42" s="17"/>
      <c r="K42" s="23"/>
    </row>
    <row r="43" spans="1:14" x14ac:dyDescent="0.2">
      <c r="A43" s="13" t="str">
        <f>IF(E68-D68&gt;0,"+ zunehmende Schulden (lafri)","- abnehmende Schulden (lafri)")</f>
        <v>+ zunehmende Schulden (lafri)</v>
      </c>
      <c r="B43" s="17"/>
      <c r="C43" s="17"/>
      <c r="D43" s="17"/>
      <c r="E43" s="17"/>
      <c r="F43" s="22">
        <f>$E69-$D69</f>
        <v>0</v>
      </c>
      <c r="G43" s="8"/>
      <c r="H43" s="8"/>
      <c r="I43" s="13"/>
      <c r="J43" s="10" t="s">
        <v>13</v>
      </c>
      <c r="K43" s="23"/>
    </row>
    <row r="44" spans="1:14" x14ac:dyDescent="0.2">
      <c r="A44" s="26" t="str">
        <f>IF(E73-D73&gt;0,"+ zunehmende Schulden (kufri)","- abnehmende Schulden (kufri)")</f>
        <v>+ zunehmende Schulden (kufri)</v>
      </c>
      <c r="B44" s="26"/>
      <c r="C44" s="17"/>
      <c r="D44" s="17"/>
      <c r="E44" s="17"/>
      <c r="F44" s="22">
        <f>$E74-$D74</f>
        <v>-9611.4006400000017</v>
      </c>
      <c r="G44" s="8"/>
      <c r="H44" s="8"/>
      <c r="I44" s="13"/>
      <c r="J44" s="30" t="s">
        <v>18</v>
      </c>
      <c r="K44" s="23"/>
    </row>
    <row r="45" spans="1:14" x14ac:dyDescent="0.2">
      <c r="A45" s="26"/>
      <c r="B45" s="17"/>
      <c r="C45" s="17"/>
      <c r="D45" s="17"/>
      <c r="E45" s="17"/>
      <c r="F45" s="22"/>
      <c r="G45" s="8"/>
      <c r="H45" s="8"/>
      <c r="I45" s="13"/>
      <c r="J45" s="17"/>
      <c r="K45" s="23"/>
    </row>
    <row r="46" spans="1:14" x14ac:dyDescent="0.2">
      <c r="A46" s="14" t="s">
        <v>56</v>
      </c>
      <c r="B46" s="14"/>
      <c r="C46" s="14"/>
      <c r="D46" s="14"/>
      <c r="E46" s="14"/>
      <c r="F46" s="25">
        <f>SUM(F43:F45)</f>
        <v>-9611.4006400000017</v>
      </c>
      <c r="G46" s="8"/>
      <c r="H46" s="8"/>
      <c r="I46" s="107" t="str">
        <f>D60</f>
        <v>Vorjahr</v>
      </c>
      <c r="J46" s="17"/>
      <c r="K46" s="108">
        <f>E60</f>
        <v>2002</v>
      </c>
    </row>
    <row r="47" spans="1:14" ht="13.5" thickBot="1" x14ac:dyDescent="0.25">
      <c r="A47" s="27" t="s">
        <v>10</v>
      </c>
      <c r="B47" s="28"/>
      <c r="C47" s="28"/>
      <c r="D47" s="28"/>
      <c r="E47" s="28"/>
      <c r="F47" s="29">
        <f>SUM(F41:F45)</f>
        <v>2527.5765199999933</v>
      </c>
      <c r="G47" s="8"/>
      <c r="H47" s="8"/>
      <c r="I47" s="104">
        <f>D67/D76</f>
        <v>0</v>
      </c>
      <c r="J47" s="36"/>
      <c r="K47" s="105">
        <f>E67/E76</f>
        <v>0</v>
      </c>
    </row>
    <row r="48" spans="1:14" x14ac:dyDescent="0.2">
      <c r="A48" s="17"/>
      <c r="B48" s="17"/>
      <c r="C48" s="17"/>
      <c r="D48" s="17"/>
      <c r="E48" s="17"/>
      <c r="F48" s="17"/>
      <c r="G48" s="8"/>
      <c r="H48" s="8"/>
      <c r="I48" s="8"/>
      <c r="J48" s="8"/>
      <c r="K48" s="8"/>
    </row>
    <row r="49" spans="1:13" ht="13.5" thickBot="1" x14ac:dyDescent="0.25">
      <c r="A49" s="17"/>
      <c r="B49" s="17"/>
      <c r="C49" s="17"/>
      <c r="D49" s="17"/>
      <c r="E49" s="17"/>
      <c r="F49" s="17"/>
      <c r="G49" s="8"/>
      <c r="H49" s="8"/>
      <c r="I49" s="8"/>
      <c r="J49" s="8"/>
      <c r="K49" s="8"/>
    </row>
    <row r="50" spans="1:13" x14ac:dyDescent="0.2">
      <c r="A50" s="149" t="s">
        <v>48</v>
      </c>
      <c r="B50" s="150"/>
      <c r="C50" s="151"/>
      <c r="D50" s="149" t="s">
        <v>49</v>
      </c>
      <c r="E50" s="158"/>
      <c r="F50" s="158"/>
      <c r="G50" s="158"/>
      <c r="H50" s="159"/>
      <c r="I50" s="39"/>
      <c r="J50" s="45" t="s">
        <v>50</v>
      </c>
      <c r="K50" s="33"/>
    </row>
    <row r="51" spans="1:13" x14ac:dyDescent="0.2">
      <c r="A51" s="13"/>
      <c r="B51" s="17"/>
      <c r="C51" s="23"/>
      <c r="D51" s="13"/>
      <c r="E51" s="17"/>
      <c r="F51" s="17"/>
      <c r="G51" s="17"/>
      <c r="H51" s="23"/>
      <c r="I51" s="42"/>
      <c r="J51" s="17"/>
      <c r="K51" s="23"/>
    </row>
    <row r="52" spans="1:13" x14ac:dyDescent="0.2">
      <c r="A52" s="40"/>
      <c r="B52" s="31" t="s">
        <v>23</v>
      </c>
      <c r="C52" s="44"/>
      <c r="D52" s="46"/>
      <c r="E52" s="31" t="s">
        <v>21</v>
      </c>
      <c r="F52" s="32"/>
      <c r="G52" s="17"/>
      <c r="H52" s="23"/>
      <c r="I52" s="34" t="s">
        <v>19</v>
      </c>
      <c r="J52" s="9"/>
      <c r="K52" s="35"/>
    </row>
    <row r="53" spans="1:13" x14ac:dyDescent="0.2">
      <c r="A53" s="13"/>
      <c r="B53" s="30" t="s">
        <v>9</v>
      </c>
      <c r="C53" s="23"/>
      <c r="D53" s="13"/>
      <c r="E53" s="30" t="s">
        <v>22</v>
      </c>
      <c r="F53" s="17"/>
      <c r="G53" s="17"/>
      <c r="H53" s="23"/>
      <c r="I53" s="13"/>
      <c r="J53" s="43" t="s">
        <v>20</v>
      </c>
      <c r="K53" s="23"/>
    </row>
    <row r="54" spans="1:13" x14ac:dyDescent="0.2">
      <c r="A54" s="13"/>
      <c r="B54" s="17"/>
      <c r="C54" s="23"/>
      <c r="D54" s="13"/>
      <c r="E54" s="17"/>
      <c r="F54" s="17"/>
      <c r="G54" s="17"/>
      <c r="H54" s="23"/>
      <c r="I54" s="42"/>
      <c r="J54" s="17"/>
      <c r="K54" s="23"/>
    </row>
    <row r="55" spans="1:13" x14ac:dyDescent="0.2">
      <c r="A55" s="107" t="str">
        <f>D60</f>
        <v>Vorjahr</v>
      </c>
      <c r="B55" s="17"/>
      <c r="C55" s="108">
        <f>E60</f>
        <v>2002</v>
      </c>
      <c r="D55" s="107" t="str">
        <f>D60</f>
        <v>Vorjahr</v>
      </c>
      <c r="E55" s="17"/>
      <c r="F55" s="109">
        <f>E60</f>
        <v>2002</v>
      </c>
      <c r="G55" s="17"/>
      <c r="H55" s="23"/>
      <c r="I55" s="107" t="str">
        <f>D60</f>
        <v>Vorjahr</v>
      </c>
      <c r="J55" s="17"/>
      <c r="K55" s="108">
        <f>E60</f>
        <v>2002</v>
      </c>
    </row>
    <row r="56" spans="1:13" ht="13.5" thickBot="1" x14ac:dyDescent="0.25">
      <c r="A56" s="77">
        <f>(D70+D75-D62)/J77</f>
        <v>7.7312037791220503</v>
      </c>
      <c r="B56" s="36"/>
      <c r="C56" s="63">
        <f>(E70+E75-E62)/F30</f>
        <v>9.0249927034906943</v>
      </c>
      <c r="D56" s="104">
        <f>(D62+D63)/D75</f>
        <v>0.70350650368475465</v>
      </c>
      <c r="E56" s="36"/>
      <c r="F56" s="106">
        <f>(E62+E63)/E75</f>
        <v>0.74950236376964852</v>
      </c>
      <c r="G56" s="36"/>
      <c r="H56" s="38"/>
      <c r="I56" s="104">
        <f>(D67+D70)/D61</f>
        <v>0.91950604984004913</v>
      </c>
      <c r="J56" s="36"/>
      <c r="K56" s="105">
        <f>(E67+E70)/E61</f>
        <v>0.91284554094713888</v>
      </c>
    </row>
    <row r="57" spans="1:13" x14ac:dyDescent="0.2">
      <c r="A57" s="4"/>
      <c r="B57" s="4"/>
      <c r="C57" s="4"/>
      <c r="D57" s="4"/>
      <c r="E57" s="4"/>
      <c r="F57" s="4"/>
    </row>
    <row r="59" spans="1:13" ht="13.5" thickBot="1" x14ac:dyDescent="0.25">
      <c r="A59" s="72" t="s">
        <v>36</v>
      </c>
      <c r="I59" s="148" t="s">
        <v>27</v>
      </c>
      <c r="J59" s="148"/>
      <c r="K59" s="148"/>
    </row>
    <row r="60" spans="1:13" ht="16.5" thickBot="1" x14ac:dyDescent="0.3">
      <c r="A60" s="79"/>
      <c r="B60" s="80"/>
      <c r="C60" s="81"/>
      <c r="D60" s="82" t="s">
        <v>59</v>
      </c>
      <c r="E60" s="83">
        <v>2002</v>
      </c>
      <c r="I60" s="15"/>
      <c r="J60" s="92" t="str">
        <f>D60</f>
        <v>Vorjahr</v>
      </c>
      <c r="K60" s="93">
        <f>E60</f>
        <v>2002</v>
      </c>
      <c r="M60" s="61"/>
    </row>
    <row r="61" spans="1:13" x14ac:dyDescent="0.2">
      <c r="A61" s="84" t="s">
        <v>28</v>
      </c>
      <c r="B61" s="85"/>
      <c r="C61" s="85"/>
      <c r="D61" s="86">
        <v>4230.4713499999998</v>
      </c>
      <c r="E61" s="87">
        <v>4336.0939200000003</v>
      </c>
      <c r="I61" s="94" t="s">
        <v>0</v>
      </c>
      <c r="J61" s="95"/>
      <c r="K61" s="96"/>
    </row>
    <row r="62" spans="1:13" x14ac:dyDescent="0.2">
      <c r="A62" s="13" t="s">
        <v>12</v>
      </c>
      <c r="B62" s="17"/>
      <c r="C62" s="17"/>
      <c r="D62" s="88">
        <v>72.821600000000004</v>
      </c>
      <c r="E62" s="41">
        <v>19.210909999999998</v>
      </c>
      <c r="I62" s="97"/>
      <c r="J62" s="88">
        <v>78916.631599999993</v>
      </c>
      <c r="K62" s="41">
        <v>83943.786340000006</v>
      </c>
    </row>
    <row r="63" spans="1:13" ht="13.5" thickBot="1" x14ac:dyDescent="0.25">
      <c r="A63" s="13" t="s">
        <v>43</v>
      </c>
      <c r="B63" s="17"/>
      <c r="C63" s="17"/>
      <c r="D63" s="88">
        <f>14790.85378+146.29258+9332.41308</f>
        <v>24269.559439999997</v>
      </c>
      <c r="E63" s="88">
        <f>13480.54124+50.49594+6751.22487</f>
        <v>20282.262050000001</v>
      </c>
      <c r="I63" s="98"/>
      <c r="J63" s="88"/>
      <c r="K63" s="99"/>
    </row>
    <row r="64" spans="1:13" x14ac:dyDescent="0.2">
      <c r="A64" s="13" t="s">
        <v>29</v>
      </c>
      <c r="B64" s="17"/>
      <c r="C64" s="17"/>
      <c r="D64" s="88">
        <v>9918.5916799999995</v>
      </c>
      <c r="E64" s="41">
        <v>6407.2200999999995</v>
      </c>
      <c r="I64" s="94" t="s">
        <v>5</v>
      </c>
      <c r="J64" s="95"/>
      <c r="K64" s="96"/>
    </row>
    <row r="65" spans="1:11" ht="13.5" thickBot="1" x14ac:dyDescent="0.25">
      <c r="A65" s="84" t="s">
        <v>30</v>
      </c>
      <c r="B65" s="85"/>
      <c r="C65" s="85"/>
      <c r="D65" s="86">
        <f>SUM(D62:D64)</f>
        <v>34260.972719999998</v>
      </c>
      <c r="E65" s="87">
        <f>SUM(E62:E64)</f>
        <v>26708.693060000001</v>
      </c>
      <c r="I65" s="97"/>
      <c r="J65" s="88">
        <v>868.92367000000002</v>
      </c>
      <c r="K65" s="41">
        <v>788.31152999999995</v>
      </c>
    </row>
    <row r="66" spans="1:11" ht="16.5" thickBot="1" x14ac:dyDescent="0.3">
      <c r="A66" s="79" t="s">
        <v>31</v>
      </c>
      <c r="B66" s="80"/>
      <c r="C66" s="80"/>
      <c r="D66" s="89">
        <f>D61+D65</f>
        <v>38491.444069999998</v>
      </c>
      <c r="E66" s="90">
        <f>E61+E65</f>
        <v>31044.786980000001</v>
      </c>
      <c r="I66" s="98"/>
      <c r="J66" s="100"/>
      <c r="K66" s="99"/>
    </row>
    <row r="67" spans="1:11" x14ac:dyDescent="0.2">
      <c r="A67" s="84" t="s">
        <v>32</v>
      </c>
      <c r="B67" s="85"/>
      <c r="C67" s="85"/>
      <c r="D67" s="86">
        <v>0</v>
      </c>
      <c r="E67" s="87">
        <v>0</v>
      </c>
      <c r="I67" s="94" t="s">
        <v>11</v>
      </c>
      <c r="J67" s="88"/>
      <c r="K67" s="96"/>
    </row>
    <row r="68" spans="1:11" x14ac:dyDescent="0.2">
      <c r="A68" s="13" t="s">
        <v>39</v>
      </c>
      <c r="B68" s="17"/>
      <c r="C68" s="17"/>
      <c r="D68" s="88">
        <v>3889.944</v>
      </c>
      <c r="E68" s="41">
        <v>3958.1840000000002</v>
      </c>
      <c r="I68" s="97"/>
      <c r="J68" s="88">
        <f>1606.63899-49.83296-0.59759</f>
        <v>1556.2084399999999</v>
      </c>
      <c r="K68" s="41">
        <f>1033.58781-109.10959-0.88238</f>
        <v>923.59583999999995</v>
      </c>
    </row>
    <row r="69" spans="1:11" ht="13.5" thickBot="1" x14ac:dyDescent="0.25">
      <c r="A69" s="13" t="s">
        <v>38</v>
      </c>
      <c r="B69" s="17"/>
      <c r="C69" s="17"/>
      <c r="D69" s="88">
        <v>0</v>
      </c>
      <c r="E69" s="41">
        <v>0</v>
      </c>
      <c r="I69" s="97"/>
      <c r="J69" s="88"/>
      <c r="K69" s="41"/>
    </row>
    <row r="70" spans="1:11" x14ac:dyDescent="0.2">
      <c r="A70" s="84" t="s">
        <v>33</v>
      </c>
      <c r="B70" s="85"/>
      <c r="C70" s="85"/>
      <c r="D70" s="86">
        <f>SUM(D68:D69)</f>
        <v>3889.944</v>
      </c>
      <c r="E70" s="87">
        <f>SUM(E68:E69)</f>
        <v>3958.1840000000002</v>
      </c>
      <c r="I70" s="94" t="s">
        <v>16</v>
      </c>
      <c r="J70" s="95"/>
      <c r="K70" s="96"/>
    </row>
    <row r="71" spans="1:11" x14ac:dyDescent="0.2">
      <c r="A71" s="13" t="s">
        <v>42</v>
      </c>
      <c r="B71" s="17"/>
      <c r="C71" s="17"/>
      <c r="D71" s="88">
        <f>9418.60253-D68+3351.90627+22272.40617-D74+55.15536</f>
        <v>12628.748229999997</v>
      </c>
      <c r="E71" s="41">
        <f>11513.66901-E68+4017.0682+10813.8301-E74+4.55689</f>
        <v>13422.962739999997</v>
      </c>
      <c r="I71" s="97"/>
      <c r="J71" s="88">
        <v>5520.57863</v>
      </c>
      <c r="K71" s="41">
        <v>3504.74665</v>
      </c>
    </row>
    <row r="72" spans="1:11" ht="13.5" thickBot="1" x14ac:dyDescent="0.25">
      <c r="A72" s="13" t="s">
        <v>37</v>
      </c>
      <c r="B72" s="17"/>
      <c r="C72" s="17"/>
      <c r="D72" s="88">
        <v>0</v>
      </c>
      <c r="E72" s="41">
        <v>0</v>
      </c>
      <c r="I72" s="98"/>
      <c r="J72" s="100"/>
      <c r="K72" s="99"/>
    </row>
    <row r="73" spans="1:11" x14ac:dyDescent="0.2">
      <c r="A73" s="13" t="s">
        <v>41</v>
      </c>
      <c r="B73" s="17"/>
      <c r="C73" s="17"/>
      <c r="D73" s="88">
        <v>3393.3747400000002</v>
      </c>
      <c r="E73" s="88">
        <v>4695.6627799999997</v>
      </c>
      <c r="I73" s="94" t="s">
        <v>4</v>
      </c>
      <c r="J73" s="88"/>
      <c r="K73" s="96"/>
    </row>
    <row r="74" spans="1:11" s="56" customFormat="1" x14ac:dyDescent="0.2">
      <c r="A74" s="13" t="s">
        <v>40</v>
      </c>
      <c r="B74" s="17"/>
      <c r="C74" s="17"/>
      <c r="D74" s="88">
        <f>18579.3781</f>
        <v>18579.378100000002</v>
      </c>
      <c r="E74" s="41">
        <f>8967.97746</f>
        <v>8967.9774600000001</v>
      </c>
      <c r="I74" s="97"/>
      <c r="J74" s="88">
        <v>3964.3701900000001</v>
      </c>
      <c r="K74" s="41">
        <v>2581.1882099999998</v>
      </c>
    </row>
    <row r="75" spans="1:11" ht="13.5" thickBot="1" x14ac:dyDescent="0.25">
      <c r="A75" s="84" t="s">
        <v>34</v>
      </c>
      <c r="B75" s="85"/>
      <c r="C75" s="85"/>
      <c r="D75" s="86">
        <f>SUM(D71:D74)</f>
        <v>34601.501069999998</v>
      </c>
      <c r="E75" s="87">
        <f>SUM(E71:E74)</f>
        <v>27086.602979999996</v>
      </c>
      <c r="I75" s="101"/>
      <c r="J75" s="100"/>
      <c r="K75" s="99"/>
    </row>
    <row r="76" spans="1:11" ht="16.5" thickBot="1" x14ac:dyDescent="0.3">
      <c r="A76" s="79" t="s">
        <v>35</v>
      </c>
      <c r="B76" s="80"/>
      <c r="C76" s="80"/>
      <c r="D76" s="89">
        <f>D75+D70+D67</f>
        <v>38491.445070000002</v>
      </c>
      <c r="E76" s="90">
        <f>E75+E70+E67</f>
        <v>31044.786979999997</v>
      </c>
      <c r="I76" s="12" t="s">
        <v>9</v>
      </c>
      <c r="J76" s="102"/>
      <c r="K76" s="33"/>
    </row>
    <row r="77" spans="1:11" ht="13.5" thickBot="1" x14ac:dyDescent="0.25">
      <c r="A77" s="8"/>
      <c r="B77" s="8"/>
      <c r="C77" s="8"/>
      <c r="D77" s="8"/>
      <c r="E77" s="91" t="str">
        <f>IF(E76=E66, "i.O.", "Fehler!")</f>
        <v>i.O.</v>
      </c>
      <c r="I77" s="13"/>
      <c r="J77" s="112">
        <f>J74+J65+136</f>
        <v>4969.2938599999998</v>
      </c>
      <c r="K77" s="41">
        <f>F30</f>
        <v>3437.73974</v>
      </c>
    </row>
    <row r="78" spans="1:11" ht="13.5" thickBot="1" x14ac:dyDescent="0.25">
      <c r="I78" s="101"/>
      <c r="J78" s="103"/>
      <c r="K78" s="38"/>
    </row>
    <row r="82" spans="1:6" x14ac:dyDescent="0.2">
      <c r="A82" s="17"/>
      <c r="B82" s="17"/>
      <c r="C82" s="17"/>
      <c r="D82" s="30"/>
      <c r="E82" s="30"/>
      <c r="F82" s="4"/>
    </row>
    <row r="83" spans="1:6" x14ac:dyDescent="0.2">
      <c r="A83" s="17"/>
      <c r="B83" s="17"/>
      <c r="C83" s="17"/>
      <c r="D83" s="30"/>
      <c r="E83" s="30"/>
      <c r="F83" s="4"/>
    </row>
    <row r="84" spans="1:6" x14ac:dyDescent="0.2">
      <c r="A84" s="4"/>
      <c r="B84" s="4"/>
      <c r="C84" s="4"/>
      <c r="D84" s="4"/>
      <c r="E84" s="4"/>
      <c r="F84" s="4"/>
    </row>
    <row r="90" spans="1:6" x14ac:dyDescent="0.2">
      <c r="A90" s="64"/>
      <c r="B90" s="4"/>
      <c r="C90" s="4"/>
    </row>
    <row r="91" spans="1:6" x14ac:dyDescent="0.2">
      <c r="A91" s="4"/>
      <c r="B91" s="4"/>
      <c r="C91" s="4"/>
    </row>
    <row r="92" spans="1:6" x14ac:dyDescent="0.2">
      <c r="A92" s="4"/>
      <c r="B92" s="68"/>
      <c r="C92" s="68"/>
    </row>
    <row r="93" spans="1:6" x14ac:dyDescent="0.2">
      <c r="A93" s="4"/>
      <c r="B93" s="4"/>
      <c r="C93" s="4"/>
    </row>
    <row r="94" spans="1:6" x14ac:dyDescent="0.2">
      <c r="A94" s="69"/>
      <c r="B94" s="4"/>
      <c r="C94" s="4"/>
    </row>
    <row r="95" spans="1:6" x14ac:dyDescent="0.2">
      <c r="A95" s="4"/>
      <c r="B95" s="4"/>
      <c r="C95" s="4"/>
    </row>
    <row r="96" spans="1:6" x14ac:dyDescent="0.2">
      <c r="A96" s="4"/>
      <c r="B96" s="67"/>
      <c r="C96" s="67"/>
    </row>
    <row r="97" spans="1:3" x14ac:dyDescent="0.2">
      <c r="A97" s="4"/>
      <c r="B97" s="68"/>
      <c r="C97" s="68"/>
    </row>
    <row r="98" spans="1:3" x14ac:dyDescent="0.2">
      <c r="A98" s="4"/>
      <c r="B98" s="4"/>
      <c r="C98" s="4"/>
    </row>
    <row r="99" spans="1:3" x14ac:dyDescent="0.2">
      <c r="A99" s="4"/>
      <c r="B99" s="4"/>
      <c r="C99" s="4"/>
    </row>
    <row r="100" spans="1:3" x14ac:dyDescent="0.2">
      <c r="A100" s="4"/>
      <c r="B100" s="4"/>
      <c r="C100" s="4"/>
    </row>
    <row r="101" spans="1:3" x14ac:dyDescent="0.2">
      <c r="A101" s="4"/>
      <c r="B101" s="4"/>
      <c r="C101" s="4"/>
    </row>
    <row r="102" spans="1:3" x14ac:dyDescent="0.2">
      <c r="A102" s="4"/>
      <c r="B102" s="4"/>
      <c r="C102" s="4"/>
    </row>
    <row r="103" spans="1:3" x14ac:dyDescent="0.2">
      <c r="A103" s="4"/>
      <c r="B103" s="4"/>
      <c r="C103" s="4"/>
    </row>
    <row r="104" spans="1:3" x14ac:dyDescent="0.2">
      <c r="A104" s="4"/>
      <c r="B104" s="68"/>
      <c r="C104" s="68"/>
    </row>
    <row r="105" spans="1:3" x14ac:dyDescent="0.2">
      <c r="A105" s="4"/>
      <c r="B105" s="67"/>
      <c r="C105" s="67"/>
    </row>
    <row r="106" spans="1:3" x14ac:dyDescent="0.2">
      <c r="A106" s="4"/>
      <c r="B106" s="4"/>
      <c r="C106" s="4"/>
    </row>
    <row r="107" spans="1:3" x14ac:dyDescent="0.2">
      <c r="A107" s="4"/>
      <c r="B107" s="4"/>
      <c r="C107" s="4"/>
    </row>
    <row r="108" spans="1:3" x14ac:dyDescent="0.2">
      <c r="A108" s="64"/>
      <c r="B108" s="4"/>
      <c r="C108" s="4"/>
    </row>
    <row r="109" spans="1:3" x14ac:dyDescent="0.2">
      <c r="A109" s="4"/>
      <c r="B109" s="4"/>
      <c r="C109" s="4"/>
    </row>
    <row r="110" spans="1:3" x14ac:dyDescent="0.2">
      <c r="A110" s="4"/>
      <c r="B110" s="68"/>
      <c r="C110" s="68"/>
    </row>
    <row r="111" spans="1:3" x14ac:dyDescent="0.2">
      <c r="A111" s="4"/>
      <c r="B111" s="67"/>
      <c r="C111" s="67"/>
    </row>
    <row r="112" spans="1:3" x14ac:dyDescent="0.2">
      <c r="A112" s="4"/>
      <c r="B112" s="4"/>
      <c r="C112" s="4"/>
    </row>
    <row r="113" spans="1:3" x14ac:dyDescent="0.2">
      <c r="A113" s="4"/>
      <c r="B113" s="4"/>
      <c r="C113" s="4"/>
    </row>
    <row r="114" spans="1:3" x14ac:dyDescent="0.2">
      <c r="A114" s="64"/>
      <c r="B114" s="4"/>
      <c r="C114" s="4"/>
    </row>
    <row r="115" spans="1:3" x14ac:dyDescent="0.2">
      <c r="A115" s="4"/>
      <c r="B115" s="4"/>
      <c r="C115" s="4"/>
    </row>
    <row r="116" spans="1:3" x14ac:dyDescent="0.2">
      <c r="A116" s="4"/>
      <c r="B116" s="68"/>
      <c r="C116" s="68"/>
    </row>
    <row r="117" spans="1:3" x14ac:dyDescent="0.2">
      <c r="A117" s="4"/>
      <c r="B117" s="67"/>
      <c r="C117" s="67"/>
    </row>
    <row r="118" spans="1:3" x14ac:dyDescent="0.2">
      <c r="A118" s="4"/>
      <c r="B118" s="4"/>
      <c r="C118" s="4"/>
    </row>
    <row r="119" spans="1:3" x14ac:dyDescent="0.2">
      <c r="A119" s="4"/>
      <c r="B119" s="4"/>
      <c r="C119" s="4"/>
    </row>
    <row r="120" spans="1:3" x14ac:dyDescent="0.2">
      <c r="A120" s="64"/>
      <c r="B120" s="4"/>
      <c r="C120" s="4"/>
    </row>
    <row r="121" spans="1:3" x14ac:dyDescent="0.2">
      <c r="A121" s="4"/>
      <c r="B121" s="4"/>
      <c r="C121" s="4"/>
    </row>
    <row r="122" spans="1:3" x14ac:dyDescent="0.2">
      <c r="A122" s="65"/>
      <c r="B122" s="66"/>
      <c r="C122" s="65"/>
    </row>
    <row r="123" spans="1:3" x14ac:dyDescent="0.2">
      <c r="A123" s="65"/>
      <c r="B123" s="66"/>
      <c r="C123" s="65"/>
    </row>
    <row r="124" spans="1:3" x14ac:dyDescent="0.2">
      <c r="A124" s="65"/>
      <c r="B124" s="65"/>
      <c r="C124" s="65"/>
    </row>
    <row r="125" spans="1:3" x14ac:dyDescent="0.2">
      <c r="A125" s="4"/>
      <c r="B125" s="4"/>
      <c r="C125" s="4"/>
    </row>
    <row r="126" spans="1:3" x14ac:dyDescent="0.2">
      <c r="A126" s="4"/>
      <c r="B126" s="4"/>
      <c r="C126" s="4"/>
    </row>
    <row r="127" spans="1:3" x14ac:dyDescent="0.2">
      <c r="A127" s="70"/>
      <c r="B127" s="71"/>
      <c r="C127" s="4"/>
    </row>
  </sheetData>
  <mergeCells count="10">
    <mergeCell ref="I41:K41"/>
    <mergeCell ref="A50:C50"/>
    <mergeCell ref="D50:H50"/>
    <mergeCell ref="I59:K59"/>
    <mergeCell ref="I5:K5"/>
    <mergeCell ref="I7:K7"/>
    <mergeCell ref="I8:K8"/>
    <mergeCell ref="I14:K14"/>
    <mergeCell ref="I23:K23"/>
    <mergeCell ref="I32:K32"/>
  </mergeCells>
  <printOptions horizontalCentered="1" gridLinesSet="0"/>
  <pageMargins left="0.78740157480314965" right="0.59055118110236227" top="0.78740157480314965" bottom="0.78740157480314965" header="0.51181102362204722" footer="0.51181102362204722"/>
  <pageSetup paperSize="9" scale="71" orientation="portrait" horizontalDpi="300" r:id="rId1"/>
  <headerFooter alignWithMargins="0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Q127"/>
  <sheetViews>
    <sheetView showGridLines="0" zoomScale="110" zoomScaleNormal="110" workbookViewId="0">
      <selection activeCell="F47" sqref="F47"/>
    </sheetView>
  </sheetViews>
  <sheetFormatPr baseColWidth="10" defaultRowHeight="12.75" x14ac:dyDescent="0.2"/>
  <cols>
    <col min="1" max="1" width="11.7109375" style="2" customWidth="1"/>
    <col min="2" max="2" width="8.28515625" style="2" customWidth="1"/>
    <col min="3" max="3" width="11.85546875" style="2" customWidth="1"/>
    <col min="4" max="4" width="11.42578125" style="2"/>
    <col min="5" max="5" width="10.42578125" style="2" customWidth="1"/>
    <col min="6" max="6" width="9.42578125" style="2" customWidth="1"/>
    <col min="7" max="7" width="1.28515625" style="2" customWidth="1"/>
    <col min="8" max="8" width="3.42578125" style="2" customWidth="1"/>
    <col min="9" max="9" width="8.7109375" style="2" customWidth="1"/>
    <col min="10" max="10" width="10.5703125" style="2" customWidth="1"/>
    <col min="11" max="11" width="9.42578125" style="2" customWidth="1"/>
    <col min="12" max="16384" width="11.42578125" style="2"/>
  </cols>
  <sheetData>
    <row r="1" spans="1:17" ht="20.25" x14ac:dyDescent="0.3">
      <c r="A1" s="55" t="s">
        <v>58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pans="1:17" s="1" customFormat="1" x14ac:dyDescent="0.2">
      <c r="A2" s="6"/>
      <c r="B2" s="7"/>
      <c r="C2" s="7"/>
      <c r="D2" s="7"/>
      <c r="E2" s="7"/>
      <c r="F2" s="7"/>
      <c r="G2" s="7"/>
      <c r="H2" s="7"/>
      <c r="I2" s="7"/>
      <c r="J2" s="7"/>
      <c r="K2" s="7"/>
    </row>
    <row r="3" spans="1:17" s="1" customFormat="1" x14ac:dyDescent="0.2">
      <c r="A3" s="6"/>
      <c r="B3" s="7"/>
      <c r="C3" s="7"/>
      <c r="D3" s="7"/>
      <c r="E3" s="7"/>
      <c r="F3" s="7"/>
      <c r="G3" s="7"/>
      <c r="H3" s="7"/>
      <c r="I3" s="7"/>
      <c r="J3" s="7"/>
      <c r="K3" s="7"/>
      <c r="L3" s="76" t="str">
        <f>IF(C20=F20,"i.O.","Fehler!")</f>
        <v>i.O.</v>
      </c>
    </row>
    <row r="4" spans="1:17" ht="13.5" thickBot="1" x14ac:dyDescent="0.25">
      <c r="A4" s="8"/>
      <c r="B4" s="8"/>
      <c r="C4" s="8"/>
      <c r="D4" s="8"/>
      <c r="E4" s="8"/>
      <c r="F4" s="8"/>
      <c r="G4" s="8"/>
      <c r="H4" s="8"/>
      <c r="I4" s="8"/>
      <c r="J4" s="8"/>
      <c r="K4" s="8"/>
    </row>
    <row r="5" spans="1:17" ht="15.75" x14ac:dyDescent="0.25">
      <c r="A5" s="47" t="s">
        <v>1</v>
      </c>
      <c r="B5" s="48"/>
      <c r="C5" s="48"/>
      <c r="D5" s="48"/>
      <c r="E5" s="48"/>
      <c r="F5" s="49"/>
      <c r="G5" s="8"/>
      <c r="H5" s="8"/>
      <c r="I5" s="149" t="s">
        <v>15</v>
      </c>
      <c r="J5" s="150"/>
      <c r="K5" s="151"/>
      <c r="N5" s="4"/>
      <c r="O5" s="64"/>
      <c r="P5" s="4"/>
      <c r="Q5" s="4"/>
    </row>
    <row r="6" spans="1:17" ht="15.75" x14ac:dyDescent="0.25">
      <c r="A6" s="50"/>
      <c r="B6" s="19"/>
      <c r="C6" s="19"/>
      <c r="D6" s="19"/>
      <c r="E6" s="19"/>
      <c r="F6" s="20"/>
      <c r="G6" s="8"/>
      <c r="H6" s="8"/>
      <c r="I6" s="110" t="s">
        <v>51</v>
      </c>
      <c r="J6" s="17"/>
      <c r="K6" s="23"/>
      <c r="N6" s="4"/>
      <c r="O6" s="4"/>
      <c r="P6" s="4"/>
      <c r="Q6" s="4"/>
    </row>
    <row r="7" spans="1:17" ht="13.5" thickBot="1" x14ac:dyDescent="0.25">
      <c r="A7" s="51" t="s">
        <v>2</v>
      </c>
      <c r="B7" s="19" t="s">
        <v>14</v>
      </c>
      <c r="C7" s="19"/>
      <c r="D7" s="52" t="s">
        <v>3</v>
      </c>
      <c r="E7" s="19" t="s">
        <v>14</v>
      </c>
      <c r="F7" s="20"/>
      <c r="G7" s="8"/>
      <c r="H7" s="8"/>
      <c r="I7" s="155" t="s">
        <v>16</v>
      </c>
      <c r="J7" s="156"/>
      <c r="K7" s="157"/>
      <c r="N7" s="4"/>
      <c r="O7" s="65"/>
      <c r="P7" s="65"/>
      <c r="Q7" s="65"/>
    </row>
    <row r="8" spans="1:17" x14ac:dyDescent="0.2">
      <c r="A8" s="12" t="s">
        <v>25</v>
      </c>
      <c r="B8" s="11"/>
      <c r="C8" s="11">
        <f>-F40</f>
        <v>1909.6317899999995</v>
      </c>
      <c r="D8" s="12" t="s">
        <v>26</v>
      </c>
      <c r="E8" s="11"/>
      <c r="F8" s="33">
        <f>F26</f>
        <v>10294.694519999999</v>
      </c>
      <c r="G8" s="8"/>
      <c r="H8" s="8"/>
      <c r="I8" s="152" t="s">
        <v>53</v>
      </c>
      <c r="J8" s="153"/>
      <c r="K8" s="154"/>
      <c r="N8" s="4"/>
      <c r="O8" s="65"/>
      <c r="P8" s="66"/>
      <c r="Q8" s="65"/>
    </row>
    <row r="9" spans="1:17" x14ac:dyDescent="0.2">
      <c r="A9" s="13" t="str">
        <f>IF(F32&lt;0,"Zunahme Debitoren","")</f>
        <v>Zunahme Debitoren</v>
      </c>
      <c r="B9" s="17"/>
      <c r="C9" s="17">
        <f>IF(F32&lt;0,-F32,"")</f>
        <v>4689.4571099999994</v>
      </c>
      <c r="D9" s="13" t="s">
        <v>5</v>
      </c>
      <c r="E9" s="17"/>
      <c r="F9" s="23">
        <f>F27</f>
        <v>701.35785999999996</v>
      </c>
      <c r="G9" s="8"/>
      <c r="H9" s="8"/>
      <c r="I9" s="13"/>
      <c r="J9" s="17"/>
      <c r="K9" s="23"/>
      <c r="N9" s="4"/>
      <c r="O9" s="65"/>
      <c r="P9" s="65"/>
      <c r="Q9" s="65"/>
    </row>
    <row r="10" spans="1:17" x14ac:dyDescent="0.2">
      <c r="A10" s="13" t="str">
        <f>IF(F33&lt;0,"Zunahme Bestände","")</f>
        <v>Zunahme Bestände</v>
      </c>
      <c r="B10" s="17"/>
      <c r="C10" s="17">
        <f>IF(F33&lt;0,-F33,"")</f>
        <v>1843.1025499999996</v>
      </c>
      <c r="D10" s="34" t="s">
        <v>52</v>
      </c>
      <c r="E10" s="9"/>
      <c r="F10" s="35">
        <f>F28</f>
        <v>1613.0329999999994</v>
      </c>
      <c r="G10" s="8"/>
      <c r="H10" s="8"/>
      <c r="I10" s="107" t="str">
        <f>I19</f>
        <v>Vorjahr</v>
      </c>
      <c r="J10" s="17"/>
      <c r="K10" s="108">
        <f>K19</f>
        <v>2011</v>
      </c>
      <c r="N10" s="4"/>
      <c r="O10" s="4"/>
      <c r="P10" s="4"/>
      <c r="Q10" s="4"/>
    </row>
    <row r="11" spans="1:17" ht="13.5" thickBot="1" x14ac:dyDescent="0.25">
      <c r="A11" s="13" t="str">
        <f>IF(F34&lt;0,"Abnahme Anzahlungen","")</f>
        <v/>
      </c>
      <c r="B11" s="17"/>
      <c r="C11" s="23" t="str">
        <f>IF(F34&lt;0,-F34,"")</f>
        <v/>
      </c>
      <c r="D11" s="57" t="s">
        <v>6</v>
      </c>
      <c r="E11" s="58"/>
      <c r="F11" s="23">
        <f>SUM(F8:F10)</f>
        <v>12609.085379999999</v>
      </c>
      <c r="G11" s="8"/>
      <c r="H11" s="8"/>
      <c r="I11" s="104">
        <f>J71/D76</f>
        <v>8.2119466532002125E-2</v>
      </c>
      <c r="J11" s="36"/>
      <c r="K11" s="60">
        <f>K71/((E76))</f>
        <v>0.25859125598775706</v>
      </c>
      <c r="N11" s="4"/>
      <c r="O11" s="65"/>
      <c r="P11" s="65"/>
      <c r="Q11" s="65"/>
    </row>
    <row r="12" spans="1:17" x14ac:dyDescent="0.2">
      <c r="A12" s="13" t="str">
        <f>IF(F35&lt;0,"Abn. Rückstellungen","")</f>
        <v/>
      </c>
      <c r="B12" s="17"/>
      <c r="C12" s="23" t="str">
        <f>IF(F35&lt;0,-F35,"")</f>
        <v/>
      </c>
      <c r="D12" s="13" t="str">
        <f>IF(F32&gt;0,"Abnahme Debitoren","")</f>
        <v/>
      </c>
      <c r="E12" s="17"/>
      <c r="F12" s="23" t="str">
        <f>IF(F32&gt;0,F32,"")</f>
        <v/>
      </c>
      <c r="G12" s="8"/>
      <c r="H12" s="8"/>
      <c r="I12" s="111" t="s">
        <v>57</v>
      </c>
      <c r="J12" s="8"/>
      <c r="K12" s="8"/>
      <c r="N12" s="4"/>
      <c r="O12" s="65"/>
      <c r="P12" s="65"/>
      <c r="Q12" s="65"/>
    </row>
    <row r="13" spans="1:17" ht="13.5" thickBot="1" x14ac:dyDescent="0.25">
      <c r="A13" s="13" t="str">
        <f>IF(F36&lt;0,"Abnahme Kreditoren","")</f>
        <v>Abnahme Kreditoren</v>
      </c>
      <c r="B13" s="17"/>
      <c r="C13" s="23">
        <f>IF(F36&lt;0,-F36,"")</f>
        <v>1151.2100399999999</v>
      </c>
      <c r="D13" s="13" t="str">
        <f>IF(F33&gt;0,"Bestandsabbau","")</f>
        <v/>
      </c>
      <c r="E13" s="17"/>
      <c r="F13" s="23" t="str">
        <f>IF(F33&gt;0,F33,"")</f>
        <v/>
      </c>
      <c r="G13" s="8"/>
      <c r="H13" s="8"/>
      <c r="I13" s="8"/>
      <c r="J13" s="8"/>
      <c r="K13" s="8"/>
      <c r="N13" s="4"/>
      <c r="O13" s="4"/>
      <c r="P13" s="4"/>
      <c r="Q13" s="4"/>
    </row>
    <row r="14" spans="1:17" x14ac:dyDescent="0.2">
      <c r="A14" s="13" t="str">
        <f>IF(F47&gt;0,"Aufbau FlüMi","")</f>
        <v>Aufbau FlüMi</v>
      </c>
      <c r="B14" s="17"/>
      <c r="C14" s="23">
        <f>IF(F47&gt;0,F47,"")</f>
        <v>4635.0982200000017</v>
      </c>
      <c r="D14" s="13" t="str">
        <f>IF(F34&gt;0,"Zunahme Anzahlungen","")</f>
        <v/>
      </c>
      <c r="E14" s="17"/>
      <c r="F14" s="23" t="str">
        <f>IF(F34&gt;0,F34,"")</f>
        <v/>
      </c>
      <c r="G14" s="8"/>
      <c r="H14" s="8"/>
      <c r="I14" s="149" t="s">
        <v>46</v>
      </c>
      <c r="J14" s="150"/>
      <c r="K14" s="151"/>
      <c r="N14" s="4"/>
      <c r="O14" s="67"/>
      <c r="P14" s="67"/>
      <c r="Q14" s="67"/>
    </row>
    <row r="15" spans="1:17" x14ac:dyDescent="0.2">
      <c r="A15" s="13" t="str">
        <f>IF(F43&lt;0,"Abn. lafri Schulden","")</f>
        <v>Abn. lafri Schulden</v>
      </c>
      <c r="B15" s="17"/>
      <c r="C15" s="23">
        <f>IF(F43&lt;0,-F43,"")</f>
        <v>200</v>
      </c>
      <c r="D15" s="13" t="str">
        <f>IF(F35&gt;0,"Zunahme Rückstellungen","")</f>
        <v>Zunahme Rückstellungen</v>
      </c>
      <c r="E15" s="17"/>
      <c r="F15" s="23">
        <f>IF(F35&gt;0,F35,"")</f>
        <v>6252.2953700000016</v>
      </c>
      <c r="G15" s="8"/>
      <c r="H15" s="8"/>
      <c r="I15" s="13"/>
      <c r="J15" s="17"/>
      <c r="K15" s="23"/>
      <c r="N15" s="4"/>
      <c r="O15" s="67"/>
      <c r="P15" s="67"/>
      <c r="Q15" s="67"/>
    </row>
    <row r="16" spans="1:17" x14ac:dyDescent="0.2">
      <c r="A16" s="13" t="str">
        <f>IF(F44&lt;0,"Abn. kufri Schulden","")</f>
        <v>Abn. kufri Schulden</v>
      </c>
      <c r="B16" s="17"/>
      <c r="C16" s="23">
        <f>IF(F44&lt;0,-F44,"")</f>
        <v>4432.8810400000002</v>
      </c>
      <c r="D16" s="13" t="str">
        <f>IF(F36&gt;0,"Zunahme Kreditoren","")</f>
        <v/>
      </c>
      <c r="E16" s="17"/>
      <c r="F16" s="23" t="str">
        <f>IF(F36&gt;0,F36,"")</f>
        <v/>
      </c>
      <c r="G16" s="8"/>
      <c r="H16" s="8"/>
      <c r="I16" s="13"/>
      <c r="J16" s="37" t="s">
        <v>9</v>
      </c>
      <c r="K16" s="23"/>
    </row>
    <row r="17" spans="1:14" x14ac:dyDescent="0.2">
      <c r="A17" s="13"/>
      <c r="B17" s="17"/>
      <c r="C17" s="17"/>
      <c r="D17" s="13" t="str">
        <f>IF(F47&lt;0,"Abbau FlüMi","")</f>
        <v/>
      </c>
      <c r="E17" s="17"/>
      <c r="F17" s="23" t="str">
        <f>IF(F47&lt;0,-F47,"")</f>
        <v/>
      </c>
      <c r="G17" s="8"/>
      <c r="H17" s="8"/>
      <c r="I17" s="13"/>
      <c r="J17" s="30" t="s">
        <v>0</v>
      </c>
      <c r="K17" s="23"/>
    </row>
    <row r="18" spans="1:14" x14ac:dyDescent="0.2">
      <c r="A18" s="13"/>
      <c r="B18" s="17"/>
      <c r="C18" s="17"/>
      <c r="D18" s="13" t="str">
        <f>IF(F43&gt;0,"Zunahme lafri Schulden","")</f>
        <v/>
      </c>
      <c r="E18" s="17"/>
      <c r="F18" s="23" t="str">
        <f>IF(F43&gt;0,F43,"")</f>
        <v/>
      </c>
      <c r="G18" s="8"/>
      <c r="H18" s="8"/>
      <c r="I18" s="13"/>
      <c r="J18" s="17"/>
      <c r="K18" s="23"/>
    </row>
    <row r="19" spans="1:14" ht="13.5" thickBot="1" x14ac:dyDescent="0.25">
      <c r="A19" s="13"/>
      <c r="B19" s="17"/>
      <c r="C19" s="59"/>
      <c r="D19" s="13" t="str">
        <f>IF(F44&gt;0,"Zunahme kufri Schulden","")</f>
        <v/>
      </c>
      <c r="E19" s="17"/>
      <c r="F19" s="59" t="str">
        <f>IF(F44&gt;0,F44,"")</f>
        <v/>
      </c>
      <c r="G19" s="8"/>
      <c r="H19" s="8"/>
      <c r="I19" s="107" t="str">
        <f>I37</f>
        <v>Vorjahr</v>
      </c>
      <c r="J19" s="17"/>
      <c r="K19" s="108">
        <f>K37</f>
        <v>2011</v>
      </c>
    </row>
    <row r="20" spans="1:14" ht="14.25" thickTop="1" thickBot="1" x14ac:dyDescent="0.25">
      <c r="A20" s="73"/>
      <c r="B20" s="74"/>
      <c r="C20" s="74">
        <f>SUM(C8:C19)</f>
        <v>18861.38075</v>
      </c>
      <c r="D20" s="73"/>
      <c r="E20" s="74"/>
      <c r="F20" s="75">
        <f>SUM(F11:F19)</f>
        <v>18861.38075</v>
      </c>
      <c r="G20" s="8"/>
      <c r="H20" s="8"/>
      <c r="I20" s="104">
        <f>J77/J62</f>
        <v>4.038224244265512E-2</v>
      </c>
      <c r="J20" s="36"/>
      <c r="K20" s="105">
        <f>F30/K62</f>
        <v>9.4643609628071085E-2</v>
      </c>
    </row>
    <row r="21" spans="1:14" x14ac:dyDescent="0.2">
      <c r="B21" s="8"/>
      <c r="C21" s="8"/>
      <c r="D21" s="8"/>
      <c r="E21" s="8"/>
      <c r="F21" s="8"/>
      <c r="G21" s="8"/>
      <c r="H21" s="8"/>
      <c r="I21" s="8"/>
      <c r="J21" s="8"/>
      <c r="K21" s="8"/>
    </row>
    <row r="22" spans="1:14" ht="13.5" thickBot="1" x14ac:dyDescent="0.25">
      <c r="B22" s="8"/>
      <c r="C22" s="8"/>
      <c r="D22" s="8"/>
      <c r="E22" s="8"/>
      <c r="F22" s="8"/>
      <c r="G22" s="8"/>
      <c r="H22" s="8"/>
      <c r="I22" s="8"/>
      <c r="J22" s="8"/>
      <c r="K22" s="8"/>
    </row>
    <row r="23" spans="1:14" ht="16.5" thickBot="1" x14ac:dyDescent="0.3">
      <c r="A23" s="53" t="s">
        <v>24</v>
      </c>
      <c r="B23" s="3"/>
      <c r="C23" s="3"/>
      <c r="D23" s="3"/>
      <c r="E23" s="3"/>
      <c r="F23" s="54"/>
      <c r="G23" s="8"/>
      <c r="H23" s="8"/>
      <c r="I23" s="149" t="s">
        <v>45</v>
      </c>
      <c r="J23" s="150"/>
      <c r="K23" s="151"/>
    </row>
    <row r="24" spans="1:14" ht="13.5" thickBot="1" x14ac:dyDescent="0.25">
      <c r="A24" s="15"/>
      <c r="B24" s="16"/>
      <c r="C24" s="16"/>
      <c r="D24" s="16"/>
      <c r="E24" s="16"/>
      <c r="F24" s="78">
        <f>E60</f>
        <v>2011</v>
      </c>
      <c r="G24" s="8"/>
      <c r="H24" s="8"/>
      <c r="I24" s="13"/>
      <c r="J24" s="17"/>
      <c r="K24" s="23"/>
    </row>
    <row r="25" spans="1:14" x14ac:dyDescent="0.2">
      <c r="A25" s="13"/>
      <c r="B25" s="17"/>
      <c r="C25" s="17"/>
      <c r="D25" s="17"/>
      <c r="E25" s="17"/>
      <c r="F25" s="18"/>
      <c r="G25" s="8"/>
      <c r="H25" s="8"/>
      <c r="I25" s="13"/>
      <c r="J25" s="21" t="s">
        <v>16</v>
      </c>
      <c r="K25" s="23"/>
      <c r="M25" s="62"/>
    </row>
    <row r="26" spans="1:14" x14ac:dyDescent="0.2">
      <c r="A26" s="13" t="s">
        <v>26</v>
      </c>
      <c r="B26" s="17"/>
      <c r="C26" s="17"/>
      <c r="D26" s="17"/>
      <c r="E26" s="17"/>
      <c r="F26" s="22">
        <f>$K74</f>
        <v>10294.694519999999</v>
      </c>
      <c r="G26" s="8"/>
      <c r="H26" s="8"/>
      <c r="I26" s="13"/>
      <c r="J26" s="30" t="s">
        <v>11</v>
      </c>
      <c r="K26" s="23"/>
    </row>
    <row r="27" spans="1:14" x14ac:dyDescent="0.2">
      <c r="A27" s="13" t="s">
        <v>5</v>
      </c>
      <c r="B27" s="17"/>
      <c r="C27" s="17"/>
      <c r="D27" s="17"/>
      <c r="E27" s="17"/>
      <c r="F27" s="22">
        <f>$K65</f>
        <v>701.35785999999996</v>
      </c>
      <c r="G27" s="8"/>
      <c r="H27" s="8"/>
      <c r="I27" s="13"/>
      <c r="J27" s="17"/>
      <c r="K27" s="23"/>
    </row>
    <row r="28" spans="1:14" x14ac:dyDescent="0.2">
      <c r="A28" s="13" t="s">
        <v>44</v>
      </c>
      <c r="B28" s="17"/>
      <c r="C28" s="17"/>
      <c r="D28" s="17"/>
      <c r="E28" s="17"/>
      <c r="F28" s="22">
        <f>$E68-$D68</f>
        <v>1613.0329999999994</v>
      </c>
      <c r="G28" s="8"/>
      <c r="H28" s="8"/>
      <c r="I28" s="107" t="str">
        <f>I37</f>
        <v>Vorjahr</v>
      </c>
      <c r="J28" s="17"/>
      <c r="K28" s="108">
        <f>K46</f>
        <v>2011</v>
      </c>
    </row>
    <row r="29" spans="1:14" ht="13.5" thickBot="1" x14ac:dyDescent="0.25">
      <c r="A29" s="13"/>
      <c r="B29" s="17"/>
      <c r="C29" s="17"/>
      <c r="D29" s="17"/>
      <c r="E29" s="17"/>
      <c r="F29" s="22"/>
      <c r="G29" s="8"/>
      <c r="H29" s="8"/>
      <c r="I29" s="77">
        <f>J71/J68</f>
        <v>3.5508131609761553</v>
      </c>
      <c r="J29" s="36"/>
      <c r="K29" s="63">
        <f>K71/K68</f>
        <v>15.077776010382392</v>
      </c>
    </row>
    <row r="30" spans="1:14" x14ac:dyDescent="0.2">
      <c r="A30" s="24" t="s">
        <v>6</v>
      </c>
      <c r="B30" s="14"/>
      <c r="C30" s="14"/>
      <c r="D30" s="14"/>
      <c r="E30" s="14"/>
      <c r="F30" s="25">
        <f>SUM(F26:F28)</f>
        <v>12609.085379999999</v>
      </c>
      <c r="G30" s="8"/>
      <c r="H30" s="8"/>
      <c r="I30" s="8"/>
      <c r="J30" s="8"/>
      <c r="K30" s="8"/>
    </row>
    <row r="31" spans="1:14" ht="13.5" thickBot="1" x14ac:dyDescent="0.25">
      <c r="A31" s="13"/>
      <c r="B31" s="17"/>
      <c r="C31" s="17"/>
      <c r="D31" s="17"/>
      <c r="E31" s="17"/>
      <c r="F31" s="22"/>
      <c r="G31" s="8"/>
      <c r="H31" s="8"/>
      <c r="I31" s="8"/>
      <c r="J31" s="8"/>
      <c r="K31" s="8"/>
    </row>
    <row r="32" spans="1:14" x14ac:dyDescent="0.2">
      <c r="A32" s="26" t="str">
        <f>IF(D63-E63&lt;0,"- zunehmende Debitoren","+ abnehmende Debitoren")</f>
        <v>- zunehmende Debitoren</v>
      </c>
      <c r="B32" s="17"/>
      <c r="C32" s="17"/>
      <c r="D32" s="17"/>
      <c r="E32" s="17"/>
      <c r="F32" s="22">
        <f>$D63-$E63</f>
        <v>-4689.4571099999994</v>
      </c>
      <c r="G32" s="8"/>
      <c r="H32" s="8"/>
      <c r="I32" s="149" t="s">
        <v>17</v>
      </c>
      <c r="J32" s="150"/>
      <c r="K32" s="151"/>
      <c r="L32"/>
      <c r="M32"/>
      <c r="N32"/>
    </row>
    <row r="33" spans="1:14" x14ac:dyDescent="0.2">
      <c r="A33" s="26" t="str">
        <f>IF(D64-E64&lt;0,"- zunehmende Bestände","+ abnehmende Bestände")</f>
        <v>- zunehmende Bestände</v>
      </c>
      <c r="B33" s="17"/>
      <c r="C33" s="17"/>
      <c r="D33" s="17"/>
      <c r="E33" s="17"/>
      <c r="F33" s="22">
        <f>$D64-$E64</f>
        <v>-1843.1025499999996</v>
      </c>
      <c r="G33" s="8"/>
      <c r="H33" s="8"/>
      <c r="I33" s="13"/>
      <c r="J33" s="17"/>
      <c r="K33" s="23"/>
      <c r="L33"/>
      <c r="M33"/>
      <c r="N33"/>
    </row>
    <row r="34" spans="1:14" x14ac:dyDescent="0.2">
      <c r="A34" s="26" t="str">
        <f>IF(E72-D72&gt;0,"+ zunehmende Anzahlungen","- abnehmende Anzahlungen")</f>
        <v>- abnehmende Anzahlungen</v>
      </c>
      <c r="B34" s="17"/>
      <c r="C34" s="17"/>
      <c r="D34" s="17"/>
      <c r="E34" s="17"/>
      <c r="F34" s="22">
        <f>$E72-$D72</f>
        <v>0</v>
      </c>
      <c r="G34" s="8"/>
      <c r="H34" s="8"/>
      <c r="I34" s="13"/>
      <c r="J34" s="10" t="s">
        <v>16</v>
      </c>
      <c r="K34" s="23"/>
    </row>
    <row r="35" spans="1:14" x14ac:dyDescent="0.2">
      <c r="A35" s="26" t="str">
        <f>IF(E71-D71&lt;0,"- abnehmende Rückstellungen","+ zunehmende Rückstellungen")</f>
        <v>+ zunehmende Rückstellungen</v>
      </c>
      <c r="B35" s="17"/>
      <c r="C35" s="17"/>
      <c r="D35" s="17"/>
      <c r="E35" s="17"/>
      <c r="F35" s="22">
        <f>$E71-$D71</f>
        <v>6252.2953700000016</v>
      </c>
      <c r="G35" s="8"/>
      <c r="H35" s="8"/>
      <c r="I35" s="13"/>
      <c r="J35" s="30" t="s">
        <v>0</v>
      </c>
      <c r="K35" s="23"/>
    </row>
    <row r="36" spans="1:14" x14ac:dyDescent="0.2">
      <c r="A36" s="26" t="str">
        <f>IF(E73-D73&gt;0,"+ zunehmende Kreditoren","- abnehmende Kreditoren")</f>
        <v>- abnehmende Kreditoren</v>
      </c>
      <c r="B36" s="17"/>
      <c r="C36" s="17"/>
      <c r="D36" s="17"/>
      <c r="E36" s="17"/>
      <c r="F36" s="22">
        <f>$E73-$D73</f>
        <v>-1151.2100399999999</v>
      </c>
      <c r="G36" s="8"/>
      <c r="H36" s="8"/>
      <c r="I36" s="13"/>
      <c r="J36" s="17"/>
      <c r="K36" s="23"/>
    </row>
    <row r="37" spans="1:14" x14ac:dyDescent="0.2">
      <c r="A37" s="14" t="s">
        <v>55</v>
      </c>
      <c r="B37" s="14"/>
      <c r="C37" s="14"/>
      <c r="D37" s="14"/>
      <c r="E37" s="14"/>
      <c r="F37" s="25">
        <f>SUM(F32:F36)</f>
        <v>-1431.4743299999973</v>
      </c>
      <c r="G37" s="8"/>
      <c r="H37" s="8"/>
      <c r="I37" s="107" t="str">
        <f>D60</f>
        <v>Vorjahr</v>
      </c>
      <c r="J37" s="17"/>
      <c r="K37" s="108">
        <f>E60</f>
        <v>2011</v>
      </c>
    </row>
    <row r="38" spans="1:14" ht="13.5" thickBot="1" x14ac:dyDescent="0.25">
      <c r="A38" s="24" t="s">
        <v>7</v>
      </c>
      <c r="B38" s="14"/>
      <c r="C38" s="14"/>
      <c r="D38" s="14"/>
      <c r="E38" s="14"/>
      <c r="F38" s="25">
        <f>SUM(F30:F36)</f>
        <v>11177.611050000001</v>
      </c>
      <c r="G38" s="8"/>
      <c r="H38" s="8"/>
      <c r="I38" s="104">
        <f>J71/J62</f>
        <v>3.8902684088966973E-2</v>
      </c>
      <c r="J38" s="36"/>
      <c r="K38" s="105">
        <f>K71/K62</f>
        <v>0.10066159835176752</v>
      </c>
    </row>
    <row r="39" spans="1:14" x14ac:dyDescent="0.2">
      <c r="A39" s="13"/>
      <c r="B39" s="17"/>
      <c r="C39" s="17"/>
      <c r="D39" s="17"/>
      <c r="E39" s="17"/>
      <c r="F39" s="22"/>
      <c r="G39" s="8"/>
      <c r="H39" s="8"/>
      <c r="I39" s="8"/>
      <c r="J39" s="8"/>
      <c r="K39" s="8"/>
    </row>
    <row r="40" spans="1:14" ht="13.5" thickBot="1" x14ac:dyDescent="0.25">
      <c r="A40" s="13" t="s">
        <v>54</v>
      </c>
      <c r="B40" s="17"/>
      <c r="C40" s="17"/>
      <c r="D40" s="17"/>
      <c r="E40" s="17"/>
      <c r="F40" s="22">
        <f>-$E61+$D61-$K65</f>
        <v>-1909.6317899999995</v>
      </c>
      <c r="G40" s="8"/>
      <c r="H40" s="8"/>
      <c r="I40" s="8"/>
      <c r="J40" s="8"/>
      <c r="K40" s="8"/>
    </row>
    <row r="41" spans="1:14" x14ac:dyDescent="0.2">
      <c r="A41" s="24" t="s">
        <v>8</v>
      </c>
      <c r="B41" s="14"/>
      <c r="C41" s="14"/>
      <c r="D41" s="14"/>
      <c r="E41" s="14"/>
      <c r="F41" s="25">
        <f>F38+F40</f>
        <v>9267.9792600000019</v>
      </c>
      <c r="G41" s="8"/>
      <c r="H41" s="8"/>
      <c r="I41" s="160" t="s">
        <v>47</v>
      </c>
      <c r="J41" s="161"/>
      <c r="K41" s="162"/>
    </row>
    <row r="42" spans="1:14" x14ac:dyDescent="0.2">
      <c r="A42" s="26"/>
      <c r="B42" s="17"/>
      <c r="C42" s="17"/>
      <c r="D42" s="17"/>
      <c r="E42" s="17"/>
      <c r="F42" s="22"/>
      <c r="G42" s="8"/>
      <c r="H42" s="8"/>
      <c r="I42" s="13"/>
      <c r="J42" s="17"/>
      <c r="K42" s="23"/>
    </row>
    <row r="43" spans="1:14" x14ac:dyDescent="0.2">
      <c r="A43" s="13" t="str">
        <f>IF(E68-D68&gt;0,"+ zunehmende Schulden (lafri)","- abnehmende Schulden (lafri)")</f>
        <v>+ zunehmende Schulden (lafri)</v>
      </c>
      <c r="B43" s="17"/>
      <c r="C43" s="17"/>
      <c r="D43" s="17"/>
      <c r="E43" s="17"/>
      <c r="F43" s="22">
        <f>$E69-$D69</f>
        <v>-200</v>
      </c>
      <c r="G43" s="8"/>
      <c r="H43" s="8"/>
      <c r="I43" s="13"/>
      <c r="J43" s="10" t="s">
        <v>13</v>
      </c>
      <c r="K43" s="23"/>
    </row>
    <row r="44" spans="1:14" x14ac:dyDescent="0.2">
      <c r="A44" s="26" t="str">
        <f>IF(E73-D73&gt;0,"+ zunehmende Schulden (kufri)","- abnehmende Schulden (kufri)")</f>
        <v>- abnehmende Schulden (kufri)</v>
      </c>
      <c r="B44" s="26"/>
      <c r="C44" s="17"/>
      <c r="D44" s="17"/>
      <c r="E44" s="17"/>
      <c r="F44" s="22">
        <f>$E74-$D74</f>
        <v>-4432.8810400000002</v>
      </c>
      <c r="G44" s="8"/>
      <c r="H44" s="8"/>
      <c r="I44" s="13"/>
      <c r="J44" s="30" t="s">
        <v>18</v>
      </c>
      <c r="K44" s="23"/>
    </row>
    <row r="45" spans="1:14" x14ac:dyDescent="0.2">
      <c r="A45" s="26"/>
      <c r="B45" s="17"/>
      <c r="C45" s="17"/>
      <c r="D45" s="17"/>
      <c r="E45" s="17"/>
      <c r="F45" s="22"/>
      <c r="G45" s="8"/>
      <c r="H45" s="8"/>
      <c r="I45" s="13"/>
      <c r="J45" s="17"/>
      <c r="K45" s="23"/>
    </row>
    <row r="46" spans="1:14" x14ac:dyDescent="0.2">
      <c r="A46" s="14" t="s">
        <v>56</v>
      </c>
      <c r="B46" s="14"/>
      <c r="C46" s="14"/>
      <c r="D46" s="14"/>
      <c r="E46" s="14"/>
      <c r="F46" s="25">
        <f>SUM(F43:F45)</f>
        <v>-4632.8810400000002</v>
      </c>
      <c r="G46" s="8"/>
      <c r="H46" s="8"/>
      <c r="I46" s="107" t="str">
        <f>D60</f>
        <v>Vorjahr</v>
      </c>
      <c r="J46" s="17"/>
      <c r="K46" s="108">
        <f>E60</f>
        <v>2011</v>
      </c>
    </row>
    <row r="47" spans="1:14" ht="13.5" thickBot="1" x14ac:dyDescent="0.25">
      <c r="A47" s="27" t="s">
        <v>10</v>
      </c>
      <c r="B47" s="28"/>
      <c r="C47" s="28"/>
      <c r="D47" s="28"/>
      <c r="E47" s="28"/>
      <c r="F47" s="29">
        <f>SUM(F41:F45)</f>
        <v>4635.0982200000017</v>
      </c>
      <c r="G47" s="8"/>
      <c r="H47" s="8"/>
      <c r="I47" s="104">
        <f>D67/D76</f>
        <v>0.23058728566859166</v>
      </c>
      <c r="J47" s="36"/>
      <c r="K47" s="105">
        <f>E67/E76</f>
        <v>0.35922977103834275</v>
      </c>
    </row>
    <row r="48" spans="1:14" x14ac:dyDescent="0.2">
      <c r="A48" s="17"/>
      <c r="B48" s="17"/>
      <c r="C48" s="17"/>
      <c r="D48" s="17"/>
      <c r="E48" s="17"/>
      <c r="F48" s="17"/>
      <c r="G48" s="8"/>
      <c r="H48" s="8"/>
      <c r="I48" s="8"/>
      <c r="J48" s="8"/>
      <c r="K48" s="8"/>
    </row>
    <row r="49" spans="1:13" ht="13.5" thickBot="1" x14ac:dyDescent="0.25">
      <c r="A49" s="17"/>
      <c r="B49" s="17"/>
      <c r="C49" s="17"/>
      <c r="D49" s="17"/>
      <c r="E49" s="17"/>
      <c r="F49" s="17"/>
      <c r="G49" s="8"/>
      <c r="H49" s="8"/>
      <c r="I49" s="8"/>
      <c r="J49" s="8"/>
      <c r="K49" s="8"/>
    </row>
    <row r="50" spans="1:13" x14ac:dyDescent="0.2">
      <c r="A50" s="149" t="s">
        <v>48</v>
      </c>
      <c r="B50" s="150"/>
      <c r="C50" s="151"/>
      <c r="D50" s="149" t="s">
        <v>49</v>
      </c>
      <c r="E50" s="158"/>
      <c r="F50" s="158"/>
      <c r="G50" s="158"/>
      <c r="H50" s="159"/>
      <c r="I50" s="39"/>
      <c r="J50" s="45" t="s">
        <v>50</v>
      </c>
      <c r="K50" s="33"/>
    </row>
    <row r="51" spans="1:13" x14ac:dyDescent="0.2">
      <c r="A51" s="13"/>
      <c r="B51" s="17"/>
      <c r="C51" s="23"/>
      <c r="D51" s="13"/>
      <c r="E51" s="17"/>
      <c r="F51" s="17"/>
      <c r="G51" s="17"/>
      <c r="H51" s="23"/>
      <c r="I51" s="42"/>
      <c r="J51" s="17"/>
      <c r="K51" s="23"/>
    </row>
    <row r="52" spans="1:13" x14ac:dyDescent="0.2">
      <c r="A52" s="40"/>
      <c r="B52" s="31" t="s">
        <v>23</v>
      </c>
      <c r="C52" s="44"/>
      <c r="D52" s="46"/>
      <c r="E52" s="31" t="s">
        <v>21</v>
      </c>
      <c r="F52" s="32"/>
      <c r="G52" s="17"/>
      <c r="H52" s="23"/>
      <c r="I52" s="34" t="s">
        <v>19</v>
      </c>
      <c r="J52" s="9"/>
      <c r="K52" s="35"/>
    </row>
    <row r="53" spans="1:13" x14ac:dyDescent="0.2">
      <c r="A53" s="13"/>
      <c r="B53" s="30" t="s">
        <v>9</v>
      </c>
      <c r="C53" s="23"/>
      <c r="D53" s="13"/>
      <c r="E53" s="30" t="s">
        <v>22</v>
      </c>
      <c r="F53" s="17"/>
      <c r="G53" s="17"/>
      <c r="H53" s="23"/>
      <c r="I53" s="13"/>
      <c r="J53" s="43" t="s">
        <v>20</v>
      </c>
      <c r="K53" s="23"/>
    </row>
    <row r="54" spans="1:13" x14ac:dyDescent="0.2">
      <c r="A54" s="13"/>
      <c r="B54" s="17"/>
      <c r="C54" s="23"/>
      <c r="D54" s="13"/>
      <c r="E54" s="17"/>
      <c r="F54" s="17"/>
      <c r="G54" s="17"/>
      <c r="H54" s="23"/>
      <c r="I54" s="42"/>
      <c r="J54" s="17"/>
      <c r="K54" s="23"/>
    </row>
    <row r="55" spans="1:13" x14ac:dyDescent="0.2">
      <c r="A55" s="107" t="str">
        <f>D60</f>
        <v>Vorjahr</v>
      </c>
      <c r="B55" s="17"/>
      <c r="C55" s="108">
        <f>E60</f>
        <v>2011</v>
      </c>
      <c r="D55" s="107" t="str">
        <f>D60</f>
        <v>Vorjahr</v>
      </c>
      <c r="E55" s="17"/>
      <c r="F55" s="109">
        <f>E60</f>
        <v>2011</v>
      </c>
      <c r="G55" s="17"/>
      <c r="H55" s="23"/>
      <c r="I55" s="107" t="str">
        <f>D60</f>
        <v>Vorjahr</v>
      </c>
      <c r="J55" s="17"/>
      <c r="K55" s="108">
        <f>E60</f>
        <v>2011</v>
      </c>
    </row>
    <row r="56" spans="1:13" ht="13.5" thickBot="1" x14ac:dyDescent="0.25">
      <c r="A56" s="77">
        <f>(D70+D75-D62)/J77</f>
        <v>8.2306777710366106</v>
      </c>
      <c r="B56" s="36"/>
      <c r="C56" s="63">
        <f>(E70+E75-E62)/F30</f>
        <v>2.1294784673747689</v>
      </c>
      <c r="D56" s="104">
        <f>(D62+D63)/D75</f>
        <v>1.025474693580672</v>
      </c>
      <c r="E56" s="36"/>
      <c r="F56" s="106">
        <f>(E62+E63)/E75</f>
        <v>1.3546394190337401</v>
      </c>
      <c r="G56" s="36"/>
      <c r="H56" s="38"/>
      <c r="I56" s="104">
        <f>(D67+D70)/D61</f>
        <v>1.5258790841151988</v>
      </c>
      <c r="J56" s="36"/>
      <c r="K56" s="105">
        <f>(E67+E70)/E61</f>
        <v>2.209366737462545</v>
      </c>
    </row>
    <row r="57" spans="1:13" x14ac:dyDescent="0.2">
      <c r="A57" s="4"/>
      <c r="B57" s="4"/>
      <c r="C57" s="4"/>
      <c r="D57" s="4"/>
      <c r="E57" s="4"/>
      <c r="F57" s="4"/>
    </row>
    <row r="59" spans="1:13" ht="13.5" thickBot="1" x14ac:dyDescent="0.25">
      <c r="A59" s="72" t="s">
        <v>36</v>
      </c>
      <c r="I59" s="148" t="s">
        <v>27</v>
      </c>
      <c r="J59" s="148"/>
      <c r="K59" s="148"/>
    </row>
    <row r="60" spans="1:13" ht="16.5" thickBot="1" x14ac:dyDescent="0.3">
      <c r="A60" s="79"/>
      <c r="B60" s="80"/>
      <c r="C60" s="81"/>
      <c r="D60" s="82" t="s">
        <v>59</v>
      </c>
      <c r="E60" s="83">
        <v>2011</v>
      </c>
      <c r="I60" s="15"/>
      <c r="J60" s="92" t="str">
        <f>D60</f>
        <v>Vorjahr</v>
      </c>
      <c r="K60" s="93">
        <f>E60</f>
        <v>2011</v>
      </c>
      <c r="M60" s="61"/>
    </row>
    <row r="61" spans="1:13" x14ac:dyDescent="0.2">
      <c r="A61" s="84" t="s">
        <v>28</v>
      </c>
      <c r="B61" s="85"/>
      <c r="C61" s="85"/>
      <c r="D61" s="86">
        <f>'Finanzbericht 2010'!E61</f>
        <v>11760.57424</v>
      </c>
      <c r="E61" s="87">
        <v>12968.848169999999</v>
      </c>
      <c r="I61" s="94" t="s">
        <v>0</v>
      </c>
      <c r="J61" s="95"/>
      <c r="K61" s="96"/>
    </row>
    <row r="62" spans="1:13" x14ac:dyDescent="0.2">
      <c r="A62" s="13" t="s">
        <v>12</v>
      </c>
      <c r="B62" s="17"/>
      <c r="C62" s="17"/>
      <c r="D62" s="88">
        <f>'Finanzbericht 2010'!E62</f>
        <v>2745.2171499999999</v>
      </c>
      <c r="E62" s="41">
        <v>6380.3153700000003</v>
      </c>
      <c r="I62" s="97"/>
      <c r="J62" s="88">
        <f>'Finanzbericht 2010'!K62</f>
        <v>85460.062919999997</v>
      </c>
      <c r="K62" s="41">
        <v>133227.01268000001</v>
      </c>
    </row>
    <row r="63" spans="1:13" ht="13.5" thickBot="1" x14ac:dyDescent="0.25">
      <c r="A63" s="13" t="s">
        <v>43</v>
      </c>
      <c r="B63" s="17"/>
      <c r="C63" s="17"/>
      <c r="D63" s="88">
        <f>'Finanzbericht 2010'!E63</f>
        <v>20369.002840000001</v>
      </c>
      <c r="E63" s="88">
        <v>25058.45995</v>
      </c>
      <c r="I63" s="98"/>
      <c r="J63" s="88"/>
      <c r="K63" s="99"/>
    </row>
    <row r="64" spans="1:13" x14ac:dyDescent="0.2">
      <c r="A64" s="13" t="s">
        <v>29</v>
      </c>
      <c r="B64" s="17"/>
      <c r="C64" s="17"/>
      <c r="D64" s="88">
        <f>'Finanzbericht 2010'!E64</f>
        <v>5610.4399100000001</v>
      </c>
      <c r="E64" s="41">
        <v>7453.5424599999997</v>
      </c>
      <c r="I64" s="94" t="s">
        <v>5</v>
      </c>
      <c r="J64" s="95"/>
      <c r="K64" s="96"/>
    </row>
    <row r="65" spans="1:11" ht="13.5" thickBot="1" x14ac:dyDescent="0.25">
      <c r="A65" s="84" t="s">
        <v>30</v>
      </c>
      <c r="B65" s="85"/>
      <c r="C65" s="85"/>
      <c r="D65" s="86">
        <f>SUM(D62:D64)</f>
        <v>28724.659900000002</v>
      </c>
      <c r="E65" s="87">
        <f>SUM(E62:E64)</f>
        <v>38892.317779999998</v>
      </c>
      <c r="I65" s="97"/>
      <c r="J65" s="88">
        <f>'Finanzbericht 2010'!K65</f>
        <v>949.10900000000004</v>
      </c>
      <c r="K65" s="41">
        <v>701.35785999999996</v>
      </c>
    </row>
    <row r="66" spans="1:11" ht="16.5" thickBot="1" x14ac:dyDescent="0.3">
      <c r="A66" s="79" t="s">
        <v>31</v>
      </c>
      <c r="B66" s="80"/>
      <c r="C66" s="80"/>
      <c r="D66" s="89">
        <f>D61+D65</f>
        <v>40485.23414</v>
      </c>
      <c r="E66" s="90">
        <f>E61+E65</f>
        <v>51861.165949999995</v>
      </c>
      <c r="I66" s="98"/>
      <c r="J66" s="100"/>
      <c r="K66" s="99"/>
    </row>
    <row r="67" spans="1:11" x14ac:dyDescent="0.2">
      <c r="A67" s="84" t="s">
        <v>32</v>
      </c>
      <c r="B67" s="85"/>
      <c r="C67" s="85"/>
      <c r="D67" s="86">
        <f>'Finanzbericht 2010'!E67</f>
        <v>9335.3802500000002</v>
      </c>
      <c r="E67" s="87">
        <f>18630074.77/1000</f>
        <v>18630.074769999999</v>
      </c>
      <c r="I67" s="94" t="s">
        <v>11</v>
      </c>
      <c r="J67" s="88"/>
      <c r="K67" s="96"/>
    </row>
    <row r="68" spans="1:11" x14ac:dyDescent="0.2">
      <c r="A68" s="13" t="s">
        <v>39</v>
      </c>
      <c r="B68" s="17"/>
      <c r="C68" s="17"/>
      <c r="D68" s="88">
        <f>'Finanzbericht 2010'!E68</f>
        <v>8409.8340000000007</v>
      </c>
      <c r="E68" s="41">
        <f>10022867/1000</f>
        <v>10022.867</v>
      </c>
      <c r="I68" s="97"/>
      <c r="J68" s="88">
        <f>'Finanzbericht 2010'!K68</f>
        <v>936.29984999999999</v>
      </c>
      <c r="K68" s="41">
        <f>959.18064-69.7362</f>
        <v>889.44443999999999</v>
      </c>
    </row>
    <row r="69" spans="1:11" ht="13.5" thickBot="1" x14ac:dyDescent="0.25">
      <c r="A69" s="13" t="s">
        <v>38</v>
      </c>
      <c r="B69" s="17"/>
      <c r="C69" s="17"/>
      <c r="D69" s="88">
        <f>'Finanzbericht 2010'!E69</f>
        <v>200</v>
      </c>
      <c r="E69" s="41">
        <v>0</v>
      </c>
      <c r="I69" s="97"/>
      <c r="J69" s="88"/>
      <c r="K69" s="41"/>
    </row>
    <row r="70" spans="1:11" x14ac:dyDescent="0.2">
      <c r="A70" s="84" t="s">
        <v>33</v>
      </c>
      <c r="B70" s="85"/>
      <c r="C70" s="85"/>
      <c r="D70" s="86">
        <f>SUM(D68:D69)</f>
        <v>8609.8340000000007</v>
      </c>
      <c r="E70" s="87">
        <f>SUM(E68:E69)</f>
        <v>10022.867</v>
      </c>
      <c r="I70" s="94" t="s">
        <v>16</v>
      </c>
      <c r="J70" s="95"/>
      <c r="K70" s="96"/>
    </row>
    <row r="71" spans="1:11" x14ac:dyDescent="0.2">
      <c r="A71" s="13" t="s">
        <v>42</v>
      </c>
      <c r="B71" s="17"/>
      <c r="C71" s="17"/>
      <c r="D71" s="88">
        <f>'Finanzbericht 2010'!E71</f>
        <v>9085.2490099999995</v>
      </c>
      <c r="E71" s="41">
        <f>14583544.38/1000+754</f>
        <v>15337.544380000001</v>
      </c>
      <c r="I71" s="97"/>
      <c r="J71" s="88">
        <f>'Finanzbericht 2010'!K71</f>
        <v>3324.62583</v>
      </c>
      <c r="K71" s="41">
        <f>12339.47912+1071.36492</f>
        <v>13410.84404</v>
      </c>
    </row>
    <row r="72" spans="1:11" ht="13.5" thickBot="1" x14ac:dyDescent="0.25">
      <c r="A72" s="13" t="s">
        <v>37</v>
      </c>
      <c r="B72" s="17"/>
      <c r="C72" s="17"/>
      <c r="D72" s="88">
        <f>'Finanzbericht 2010'!E72</f>
        <v>0</v>
      </c>
      <c r="E72" s="41">
        <v>0</v>
      </c>
      <c r="I72" s="98"/>
      <c r="J72" s="100"/>
      <c r="K72" s="99"/>
    </row>
    <row r="73" spans="1:11" x14ac:dyDescent="0.2">
      <c r="A73" s="13" t="s">
        <v>41</v>
      </c>
      <c r="B73" s="17"/>
      <c r="C73" s="17"/>
      <c r="D73" s="88">
        <f>'Finanzbericht 2010'!E73</f>
        <v>8921.8898399999998</v>
      </c>
      <c r="E73" s="88">
        <v>7770.6797999999999</v>
      </c>
      <c r="I73" s="94" t="s">
        <v>4</v>
      </c>
      <c r="J73" s="88"/>
      <c r="K73" s="96"/>
    </row>
    <row r="74" spans="1:11" s="56" customFormat="1" x14ac:dyDescent="0.2">
      <c r="A74" s="13" t="s">
        <v>40</v>
      </c>
      <c r="B74" s="17"/>
      <c r="C74" s="17"/>
      <c r="D74" s="88">
        <f>'Finanzbericht 2010'!E74</f>
        <v>4532.8810400000002</v>
      </c>
      <c r="E74" s="41">
        <v>100</v>
      </c>
      <c r="I74" s="97"/>
      <c r="J74" s="88">
        <f>'Finanzbericht 2010'!K74</f>
        <v>2155.1869799999999</v>
      </c>
      <c r="K74" s="41">
        <v>10294.694519999999</v>
      </c>
    </row>
    <row r="75" spans="1:11" ht="13.5" thickBot="1" x14ac:dyDescent="0.25">
      <c r="A75" s="84" t="s">
        <v>34</v>
      </c>
      <c r="B75" s="85"/>
      <c r="C75" s="85"/>
      <c r="D75" s="86">
        <f>SUM(D71:D74)</f>
        <v>22540.01989</v>
      </c>
      <c r="E75" s="87">
        <f>SUM(E71:E74)</f>
        <v>23208.224180000001</v>
      </c>
      <c r="I75" s="101"/>
      <c r="J75" s="100"/>
      <c r="K75" s="99"/>
    </row>
    <row r="76" spans="1:11" ht="16.5" thickBot="1" x14ac:dyDescent="0.3">
      <c r="A76" s="79" t="s">
        <v>35</v>
      </c>
      <c r="B76" s="80"/>
      <c r="C76" s="80"/>
      <c r="D76" s="89">
        <f>D75+D70+D67</f>
        <v>40485.23414</v>
      </c>
      <c r="E76" s="90">
        <f>E75+E70+E67</f>
        <v>51861.165950000002</v>
      </c>
      <c r="I76" s="12" t="s">
        <v>9</v>
      </c>
      <c r="J76" s="102"/>
      <c r="K76" s="33"/>
    </row>
    <row r="77" spans="1:11" ht="13.5" thickBot="1" x14ac:dyDescent="0.25">
      <c r="A77" s="8"/>
      <c r="B77" s="8"/>
      <c r="C77" s="8"/>
      <c r="D77" s="8"/>
      <c r="E77" s="91" t="str">
        <f>IF(E76=E66, "i.O.", "Fehler!")</f>
        <v>i.O.</v>
      </c>
      <c r="I77" s="13"/>
      <c r="J77" s="88">
        <f>'Finanzbericht 2010'!K77</f>
        <v>3451.0689800000009</v>
      </c>
      <c r="K77" s="41">
        <f>F30</f>
        <v>12609.085379999999</v>
      </c>
    </row>
    <row r="78" spans="1:11" ht="13.5" thickBot="1" x14ac:dyDescent="0.25">
      <c r="I78" s="101"/>
      <c r="J78" s="103"/>
      <c r="K78" s="38"/>
    </row>
    <row r="82" spans="1:6" x14ac:dyDescent="0.2">
      <c r="A82" s="17"/>
      <c r="B82" s="17"/>
      <c r="C82" s="17"/>
      <c r="D82" s="30"/>
      <c r="E82" s="30"/>
      <c r="F82" s="4"/>
    </row>
    <row r="83" spans="1:6" x14ac:dyDescent="0.2">
      <c r="A83" s="17"/>
      <c r="B83" s="17"/>
      <c r="C83" s="17"/>
      <c r="D83" s="30"/>
      <c r="E83" s="30"/>
      <c r="F83" s="4"/>
    </row>
    <row r="84" spans="1:6" x14ac:dyDescent="0.2">
      <c r="A84" s="4"/>
      <c r="B84" s="4"/>
      <c r="C84" s="4"/>
      <c r="D84" s="4"/>
      <c r="E84" s="4"/>
      <c r="F84" s="4"/>
    </row>
    <row r="90" spans="1:6" x14ac:dyDescent="0.2">
      <c r="A90" s="64"/>
      <c r="B90" s="4"/>
      <c r="C90" s="4"/>
    </row>
    <row r="91" spans="1:6" x14ac:dyDescent="0.2">
      <c r="A91" s="4"/>
      <c r="B91" s="4"/>
      <c r="C91" s="4"/>
    </row>
    <row r="92" spans="1:6" x14ac:dyDescent="0.2">
      <c r="A92" s="4"/>
      <c r="B92" s="68"/>
      <c r="C92" s="68"/>
    </row>
    <row r="93" spans="1:6" x14ac:dyDescent="0.2">
      <c r="A93" s="4"/>
      <c r="B93" s="4"/>
      <c r="C93" s="4"/>
    </row>
    <row r="94" spans="1:6" x14ac:dyDescent="0.2">
      <c r="A94" s="69"/>
      <c r="B94" s="4"/>
      <c r="C94" s="4"/>
    </row>
    <row r="95" spans="1:6" x14ac:dyDescent="0.2">
      <c r="A95" s="4"/>
      <c r="B95" s="4"/>
      <c r="C95" s="4"/>
    </row>
    <row r="96" spans="1:6" x14ac:dyDescent="0.2">
      <c r="A96" s="4"/>
      <c r="B96" s="67"/>
      <c r="C96" s="67"/>
    </row>
    <row r="97" spans="1:3" x14ac:dyDescent="0.2">
      <c r="A97" s="4"/>
      <c r="B97" s="68"/>
      <c r="C97" s="68"/>
    </row>
    <row r="98" spans="1:3" x14ac:dyDescent="0.2">
      <c r="A98" s="4"/>
      <c r="B98" s="4"/>
      <c r="C98" s="4"/>
    </row>
    <row r="99" spans="1:3" x14ac:dyDescent="0.2">
      <c r="A99" s="4"/>
      <c r="B99" s="4"/>
      <c r="C99" s="4"/>
    </row>
    <row r="100" spans="1:3" x14ac:dyDescent="0.2">
      <c r="A100" s="4"/>
      <c r="B100" s="4"/>
      <c r="C100" s="4"/>
    </row>
    <row r="101" spans="1:3" x14ac:dyDescent="0.2">
      <c r="A101" s="4"/>
      <c r="B101" s="4"/>
      <c r="C101" s="4"/>
    </row>
    <row r="102" spans="1:3" x14ac:dyDescent="0.2">
      <c r="A102" s="4"/>
      <c r="B102" s="4"/>
      <c r="C102" s="4"/>
    </row>
    <row r="103" spans="1:3" x14ac:dyDescent="0.2">
      <c r="A103" s="4"/>
      <c r="B103" s="4"/>
      <c r="C103" s="4"/>
    </row>
    <row r="104" spans="1:3" x14ac:dyDescent="0.2">
      <c r="A104" s="4"/>
      <c r="B104" s="68"/>
      <c r="C104" s="68"/>
    </row>
    <row r="105" spans="1:3" x14ac:dyDescent="0.2">
      <c r="A105" s="4"/>
      <c r="B105" s="67"/>
      <c r="C105" s="67"/>
    </row>
    <row r="106" spans="1:3" x14ac:dyDescent="0.2">
      <c r="A106" s="4"/>
      <c r="B106" s="4"/>
      <c r="C106" s="4"/>
    </row>
    <row r="107" spans="1:3" x14ac:dyDescent="0.2">
      <c r="A107" s="4"/>
      <c r="B107" s="4"/>
      <c r="C107" s="4"/>
    </row>
    <row r="108" spans="1:3" x14ac:dyDescent="0.2">
      <c r="A108" s="64"/>
      <c r="B108" s="4"/>
      <c r="C108" s="4"/>
    </row>
    <row r="109" spans="1:3" x14ac:dyDescent="0.2">
      <c r="A109" s="4"/>
      <c r="B109" s="4"/>
      <c r="C109" s="4"/>
    </row>
    <row r="110" spans="1:3" x14ac:dyDescent="0.2">
      <c r="A110" s="4"/>
      <c r="B110" s="68"/>
      <c r="C110" s="68"/>
    </row>
    <row r="111" spans="1:3" x14ac:dyDescent="0.2">
      <c r="A111" s="4"/>
      <c r="B111" s="67"/>
      <c r="C111" s="67"/>
    </row>
    <row r="112" spans="1:3" x14ac:dyDescent="0.2">
      <c r="A112" s="4"/>
      <c r="B112" s="4"/>
      <c r="C112" s="4"/>
    </row>
    <row r="113" spans="1:3" x14ac:dyDescent="0.2">
      <c r="A113" s="4"/>
      <c r="B113" s="4"/>
      <c r="C113" s="4"/>
    </row>
    <row r="114" spans="1:3" x14ac:dyDescent="0.2">
      <c r="A114" s="64"/>
      <c r="B114" s="4"/>
      <c r="C114" s="4"/>
    </row>
    <row r="115" spans="1:3" x14ac:dyDescent="0.2">
      <c r="A115" s="4"/>
      <c r="B115" s="4"/>
      <c r="C115" s="4"/>
    </row>
    <row r="116" spans="1:3" x14ac:dyDescent="0.2">
      <c r="A116" s="4"/>
      <c r="B116" s="68"/>
      <c r="C116" s="68"/>
    </row>
    <row r="117" spans="1:3" x14ac:dyDescent="0.2">
      <c r="A117" s="4"/>
      <c r="B117" s="67"/>
      <c r="C117" s="67"/>
    </row>
    <row r="118" spans="1:3" x14ac:dyDescent="0.2">
      <c r="A118" s="4"/>
      <c r="B118" s="4"/>
      <c r="C118" s="4"/>
    </row>
    <row r="119" spans="1:3" x14ac:dyDescent="0.2">
      <c r="A119" s="4"/>
      <c r="B119" s="4"/>
      <c r="C119" s="4"/>
    </row>
    <row r="120" spans="1:3" x14ac:dyDescent="0.2">
      <c r="A120" s="64"/>
      <c r="B120" s="4"/>
      <c r="C120" s="4"/>
    </row>
    <row r="121" spans="1:3" x14ac:dyDescent="0.2">
      <c r="A121" s="4"/>
      <c r="B121" s="4"/>
      <c r="C121" s="4"/>
    </row>
    <row r="122" spans="1:3" x14ac:dyDescent="0.2">
      <c r="A122" s="65"/>
      <c r="B122" s="66"/>
      <c r="C122" s="65"/>
    </row>
    <row r="123" spans="1:3" x14ac:dyDescent="0.2">
      <c r="A123" s="65"/>
      <c r="B123" s="66"/>
      <c r="C123" s="65"/>
    </row>
    <row r="124" spans="1:3" x14ac:dyDescent="0.2">
      <c r="A124" s="65"/>
      <c r="B124" s="65"/>
      <c r="C124" s="65"/>
    </row>
    <row r="125" spans="1:3" x14ac:dyDescent="0.2">
      <c r="A125" s="4"/>
      <c r="B125" s="4"/>
      <c r="C125" s="4"/>
    </row>
    <row r="126" spans="1:3" x14ac:dyDescent="0.2">
      <c r="A126" s="4"/>
      <c r="B126" s="4"/>
      <c r="C126" s="4"/>
    </row>
    <row r="127" spans="1:3" x14ac:dyDescent="0.2">
      <c r="A127" s="70"/>
      <c r="B127" s="71"/>
      <c r="C127" s="4"/>
    </row>
  </sheetData>
  <mergeCells count="10">
    <mergeCell ref="A50:C50"/>
    <mergeCell ref="D50:H50"/>
    <mergeCell ref="I41:K41"/>
    <mergeCell ref="I32:K32"/>
    <mergeCell ref="I59:K59"/>
    <mergeCell ref="I23:K23"/>
    <mergeCell ref="I14:K14"/>
    <mergeCell ref="I5:K5"/>
    <mergeCell ref="I8:K8"/>
    <mergeCell ref="I7:K7"/>
  </mergeCells>
  <phoneticPr fontId="15" type="noConversion"/>
  <printOptions horizontalCentered="1" gridLinesSet="0"/>
  <pageMargins left="0.78740157480314965" right="0.59055118110236227" top="0.78740157480314965" bottom="0.78740157480314965" header="0.51181102362204722" footer="0.51181102362204722"/>
  <pageSetup paperSize="9" scale="71" orientation="portrait" horizontalDpi="300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Q127"/>
  <sheetViews>
    <sheetView showGridLines="0" topLeftCell="A49" zoomScale="110" zoomScaleNormal="110" workbookViewId="0">
      <selection activeCell="E72" sqref="E72"/>
    </sheetView>
  </sheetViews>
  <sheetFormatPr baseColWidth="10" defaultRowHeight="12.75" x14ac:dyDescent="0.2"/>
  <cols>
    <col min="1" max="1" width="11.7109375" style="2" customWidth="1"/>
    <col min="2" max="2" width="8.28515625" style="2" customWidth="1"/>
    <col min="3" max="3" width="11.85546875" style="2" customWidth="1"/>
    <col min="4" max="4" width="11.42578125" style="2"/>
    <col min="5" max="5" width="10.42578125" style="2" customWidth="1"/>
    <col min="6" max="6" width="9.42578125" style="2" customWidth="1"/>
    <col min="7" max="7" width="1.28515625" style="2" customWidth="1"/>
    <col min="8" max="8" width="3.42578125" style="2" customWidth="1"/>
    <col min="9" max="9" width="8.7109375" style="2" customWidth="1"/>
    <col min="10" max="10" width="10.5703125" style="2" customWidth="1"/>
    <col min="11" max="11" width="9.42578125" style="2" customWidth="1"/>
    <col min="12" max="16384" width="11.42578125" style="2"/>
  </cols>
  <sheetData>
    <row r="1" spans="1:17" ht="20.25" x14ac:dyDescent="0.3">
      <c r="A1" s="55" t="s">
        <v>58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pans="1:17" s="1" customFormat="1" x14ac:dyDescent="0.2">
      <c r="A2" s="6"/>
      <c r="B2" s="7"/>
      <c r="C2" s="7"/>
      <c r="D2" s="7"/>
      <c r="E2" s="7"/>
      <c r="F2" s="7"/>
      <c r="G2" s="7"/>
      <c r="H2" s="7"/>
      <c r="I2" s="7"/>
      <c r="J2" s="7"/>
      <c r="K2" s="7"/>
    </row>
    <row r="3" spans="1:17" s="1" customFormat="1" x14ac:dyDescent="0.2">
      <c r="A3" s="6"/>
      <c r="B3" s="7"/>
      <c r="C3" s="7"/>
      <c r="D3" s="7"/>
      <c r="E3" s="7"/>
      <c r="F3" s="7"/>
      <c r="G3" s="7"/>
      <c r="H3" s="7"/>
      <c r="I3" s="7"/>
      <c r="J3" s="7"/>
      <c r="K3" s="7"/>
      <c r="L3" s="76" t="str">
        <f>IF(C20=F20,"i.O.","Fehler!")</f>
        <v>i.O.</v>
      </c>
    </row>
    <row r="4" spans="1:17" ht="13.5" thickBot="1" x14ac:dyDescent="0.25">
      <c r="A4" s="8"/>
      <c r="B4" s="8"/>
      <c r="C4" s="8"/>
      <c r="D4" s="8"/>
      <c r="E4" s="8"/>
      <c r="F4" s="8"/>
      <c r="G4" s="8"/>
      <c r="H4" s="8"/>
      <c r="I4" s="8"/>
      <c r="J4" s="8"/>
      <c r="K4" s="8"/>
    </row>
    <row r="5" spans="1:17" ht="15.75" x14ac:dyDescent="0.25">
      <c r="A5" s="47" t="s">
        <v>1</v>
      </c>
      <c r="B5" s="48"/>
      <c r="C5" s="48"/>
      <c r="D5" s="48"/>
      <c r="E5" s="48"/>
      <c r="F5" s="49"/>
      <c r="G5" s="8"/>
      <c r="H5" s="8"/>
      <c r="I5" s="149" t="s">
        <v>15</v>
      </c>
      <c r="J5" s="150"/>
      <c r="K5" s="151"/>
      <c r="N5" s="4"/>
      <c r="O5" s="64"/>
      <c r="P5" s="4"/>
      <c r="Q5" s="4"/>
    </row>
    <row r="6" spans="1:17" ht="15.75" x14ac:dyDescent="0.25">
      <c r="A6" s="50"/>
      <c r="B6" s="19"/>
      <c r="C6" s="19"/>
      <c r="D6" s="19"/>
      <c r="E6" s="19"/>
      <c r="F6" s="20"/>
      <c r="G6" s="8"/>
      <c r="H6" s="8"/>
      <c r="I6" s="110" t="s">
        <v>51</v>
      </c>
      <c r="J6" s="17"/>
      <c r="K6" s="23"/>
      <c r="N6" s="4"/>
      <c r="O6" s="4"/>
      <c r="P6" s="4"/>
      <c r="Q6" s="4"/>
    </row>
    <row r="7" spans="1:17" ht="13.5" thickBot="1" x14ac:dyDescent="0.25">
      <c r="A7" s="51" t="s">
        <v>2</v>
      </c>
      <c r="B7" s="19" t="s">
        <v>14</v>
      </c>
      <c r="C7" s="19"/>
      <c r="D7" s="52" t="s">
        <v>3</v>
      </c>
      <c r="E7" s="19" t="s">
        <v>14</v>
      </c>
      <c r="F7" s="20"/>
      <c r="G7" s="8"/>
      <c r="H7" s="8"/>
      <c r="I7" s="155" t="s">
        <v>16</v>
      </c>
      <c r="J7" s="156"/>
      <c r="K7" s="157"/>
      <c r="N7" s="4"/>
      <c r="O7" s="65"/>
      <c r="P7" s="65"/>
      <c r="Q7" s="65"/>
    </row>
    <row r="8" spans="1:17" x14ac:dyDescent="0.2">
      <c r="A8" s="12" t="s">
        <v>25</v>
      </c>
      <c r="B8" s="11"/>
      <c r="C8" s="11">
        <f>-F40</f>
        <v>725.79100000000074</v>
      </c>
      <c r="D8" s="12" t="s">
        <v>26</v>
      </c>
      <c r="E8" s="11"/>
      <c r="F8" s="33">
        <f>F26</f>
        <v>2155.1869799999999</v>
      </c>
      <c r="G8" s="8"/>
      <c r="H8" s="8"/>
      <c r="I8" s="152" t="s">
        <v>53</v>
      </c>
      <c r="J8" s="153"/>
      <c r="K8" s="154"/>
      <c r="N8" s="4"/>
      <c r="O8" s="65"/>
      <c r="P8" s="66"/>
      <c r="Q8" s="65"/>
    </row>
    <row r="9" spans="1:17" x14ac:dyDescent="0.2">
      <c r="A9" s="13" t="str">
        <f>IF(F32&lt;0,"Zunahme Debitoren","")</f>
        <v>Zunahme Debitoren</v>
      </c>
      <c r="B9" s="17"/>
      <c r="C9" s="17">
        <f>IF(F32&lt;0,-F32,"")</f>
        <v>5545.0356400000019</v>
      </c>
      <c r="D9" s="13" t="s">
        <v>5</v>
      </c>
      <c r="E9" s="17"/>
      <c r="F9" s="23">
        <f>F27</f>
        <v>949.10900000000004</v>
      </c>
      <c r="G9" s="8"/>
      <c r="H9" s="8"/>
      <c r="I9" s="13"/>
      <c r="J9" s="17"/>
      <c r="K9" s="23"/>
      <c r="N9" s="4"/>
      <c r="O9" s="65"/>
      <c r="P9" s="65"/>
      <c r="Q9" s="65"/>
    </row>
    <row r="10" spans="1:17" x14ac:dyDescent="0.2">
      <c r="A10" s="13" t="str">
        <f>IF(F33&lt;0,"Zunahme Bestände","")</f>
        <v>Zunahme Bestände</v>
      </c>
      <c r="B10" s="17"/>
      <c r="C10" s="17">
        <f>IF(F33&lt;0,-F33,"")</f>
        <v>836.52067999999963</v>
      </c>
      <c r="D10" s="34" t="s">
        <v>52</v>
      </c>
      <c r="E10" s="9"/>
      <c r="F10" s="35">
        <f>F28</f>
        <v>346.77300000000105</v>
      </c>
      <c r="G10" s="8"/>
      <c r="H10" s="8"/>
      <c r="I10" s="107" t="str">
        <f>I19</f>
        <v>Vorjahr</v>
      </c>
      <c r="J10" s="17"/>
      <c r="K10" s="108">
        <f>K19</f>
        <v>2010</v>
      </c>
      <c r="N10" s="4"/>
      <c r="O10" s="4"/>
      <c r="P10" s="4"/>
      <c r="Q10" s="4"/>
    </row>
    <row r="11" spans="1:17" ht="13.5" thickBot="1" x14ac:dyDescent="0.25">
      <c r="A11" s="13" t="str">
        <f>IF(F34&lt;0,"Abnahme Anzahlungen","")</f>
        <v>Abnahme Anzahlungen</v>
      </c>
      <c r="B11" s="17"/>
      <c r="C11" s="23">
        <f>IF(F34&lt;0,-F34,"")</f>
        <v>1420.8522599999999</v>
      </c>
      <c r="D11" s="57" t="s">
        <v>6</v>
      </c>
      <c r="E11" s="58"/>
      <c r="F11" s="23">
        <f>SUM(F8:F10)</f>
        <v>3451.0689800000009</v>
      </c>
      <c r="G11" s="8"/>
      <c r="H11" s="8"/>
      <c r="I11" s="104">
        <f>J71/D76</f>
        <v>-8.9595107413322064E-2</v>
      </c>
      <c r="J11" s="36"/>
      <c r="K11" s="60">
        <f>K71/((E76))</f>
        <v>8.2119466532002125E-2</v>
      </c>
      <c r="N11" s="4"/>
      <c r="O11" s="65"/>
      <c r="P11" s="65"/>
      <c r="Q11" s="65"/>
    </row>
    <row r="12" spans="1:17" x14ac:dyDescent="0.2">
      <c r="A12" s="13" t="str">
        <f>IF(F35&lt;0,"Abn. Rückstellungen","")</f>
        <v>Abn. Rückstellungen</v>
      </c>
      <c r="B12" s="17"/>
      <c r="C12" s="23">
        <f>IF(F35&lt;0,-F35,"")</f>
        <v>267.92493000000104</v>
      </c>
      <c r="D12" s="13" t="str">
        <f>IF(F32&gt;0,"Abnahme Debitoren","")</f>
        <v/>
      </c>
      <c r="E12" s="17"/>
      <c r="F12" s="23" t="str">
        <f>IF(F32&gt;0,F32,"")</f>
        <v/>
      </c>
      <c r="G12" s="8"/>
      <c r="H12" s="8"/>
      <c r="I12" s="111" t="s">
        <v>57</v>
      </c>
      <c r="J12" s="8"/>
      <c r="K12" s="8"/>
      <c r="N12" s="4"/>
      <c r="O12" s="65"/>
      <c r="P12" s="65"/>
      <c r="Q12" s="65"/>
    </row>
    <row r="13" spans="1:17" ht="13.5" thickBot="1" x14ac:dyDescent="0.25">
      <c r="A13" s="13" t="str">
        <f>IF(F36&lt;0,"Abnahme Kreditoren","")</f>
        <v/>
      </c>
      <c r="B13" s="17"/>
      <c r="C13" s="23" t="str">
        <f>IF(F36&lt;0,-F36,"")</f>
        <v/>
      </c>
      <c r="D13" s="13" t="str">
        <f>IF(F33&gt;0,"Bestandsabbau","")</f>
        <v/>
      </c>
      <c r="E13" s="17"/>
      <c r="F13" s="23" t="str">
        <f>IF(F33&gt;0,F33,"")</f>
        <v/>
      </c>
      <c r="G13" s="8"/>
      <c r="H13" s="8"/>
      <c r="I13" s="8"/>
      <c r="J13" s="8"/>
      <c r="K13" s="8"/>
      <c r="N13" s="4"/>
      <c r="O13" s="4"/>
      <c r="P13" s="4"/>
      <c r="Q13" s="4"/>
    </row>
    <row r="14" spans="1:17" x14ac:dyDescent="0.2">
      <c r="A14" s="13" t="str">
        <f>IF(F47&gt;0,"Aufbau FlüMi","")</f>
        <v>Aufbau FlüMi</v>
      </c>
      <c r="B14" s="17"/>
      <c r="C14" s="23">
        <f>IF(F47&gt;0,F47,"")</f>
        <v>46.250319999998624</v>
      </c>
      <c r="D14" s="13" t="str">
        <f>IF(F34&gt;0,"Zunahme Anzahlungen","")</f>
        <v/>
      </c>
      <c r="E14" s="17"/>
      <c r="F14" s="23" t="str">
        <f>IF(F34&gt;0,F34,"")</f>
        <v/>
      </c>
      <c r="G14" s="8"/>
      <c r="H14" s="8"/>
      <c r="I14" s="149" t="s">
        <v>46</v>
      </c>
      <c r="J14" s="150"/>
      <c r="K14" s="151"/>
      <c r="N14" s="4"/>
      <c r="O14" s="67"/>
      <c r="P14" s="67"/>
      <c r="Q14" s="67"/>
    </row>
    <row r="15" spans="1:17" x14ac:dyDescent="0.2">
      <c r="A15" s="13" t="str">
        <f>IF(F43&lt;0,"Abn. lafri Schulden","")</f>
        <v/>
      </c>
      <c r="B15" s="17"/>
      <c r="C15" s="23" t="str">
        <f>IF(F43&lt;0,-F43,"")</f>
        <v/>
      </c>
      <c r="D15" s="13" t="str">
        <f>IF(F35&gt;0,"Zunahme Rückstellungen","")</f>
        <v/>
      </c>
      <c r="E15" s="17"/>
      <c r="F15" s="23" t="str">
        <f>IF(F35&gt;0,F35,"")</f>
        <v/>
      </c>
      <c r="G15" s="8"/>
      <c r="H15" s="8"/>
      <c r="I15" s="13"/>
      <c r="J15" s="17"/>
      <c r="K15" s="23"/>
      <c r="N15" s="4"/>
      <c r="O15" s="67"/>
      <c r="P15" s="67"/>
      <c r="Q15" s="67"/>
    </row>
    <row r="16" spans="1:17" x14ac:dyDescent="0.2">
      <c r="A16" s="13" t="str">
        <f>IF(F44&lt;0,"Abn. kufri Schulden","")</f>
        <v/>
      </c>
      <c r="B16" s="17"/>
      <c r="C16" s="23" t="str">
        <f>IF(F44&lt;0,-F44,"")</f>
        <v/>
      </c>
      <c r="D16" s="13" t="str">
        <f>IF(F36&gt;0,"Zunahme Kreditoren","")</f>
        <v>Zunahme Kreditoren</v>
      </c>
      <c r="E16" s="17"/>
      <c r="F16" s="23">
        <f>IF(F36&gt;0,F36,"")</f>
        <v>5368.5449099999996</v>
      </c>
      <c r="G16" s="8"/>
      <c r="H16" s="8"/>
      <c r="I16" s="13"/>
      <c r="J16" s="37" t="s">
        <v>9</v>
      </c>
      <c r="K16" s="23"/>
    </row>
    <row r="17" spans="1:14" x14ac:dyDescent="0.2">
      <c r="A17" s="13"/>
      <c r="B17" s="17"/>
      <c r="C17" s="17"/>
      <c r="D17" s="13" t="str">
        <f>IF(F47&lt;0,"Abbau FlüMi","")</f>
        <v/>
      </c>
      <c r="E17" s="17"/>
      <c r="F17" s="23" t="str">
        <f>IF(F47&lt;0,-F47,"")</f>
        <v/>
      </c>
      <c r="G17" s="8"/>
      <c r="H17" s="8"/>
      <c r="I17" s="13"/>
      <c r="J17" s="30" t="s">
        <v>0</v>
      </c>
      <c r="K17" s="23"/>
    </row>
    <row r="18" spans="1:14" x14ac:dyDescent="0.2">
      <c r="A18" s="13"/>
      <c r="B18" s="17"/>
      <c r="C18" s="17"/>
      <c r="D18" s="13" t="str">
        <f>IF(F43&gt;0,"Zunahme lafri Schulden","")</f>
        <v/>
      </c>
      <c r="E18" s="17"/>
      <c r="F18" s="23" t="str">
        <f>IF(F43&gt;0,F43,"")</f>
        <v/>
      </c>
      <c r="G18" s="8"/>
      <c r="H18" s="8"/>
      <c r="I18" s="13"/>
      <c r="J18" s="17"/>
      <c r="K18" s="23"/>
    </row>
    <row r="19" spans="1:14" ht="13.5" thickBot="1" x14ac:dyDescent="0.25">
      <c r="A19" s="13"/>
      <c r="B19" s="17"/>
      <c r="C19" s="59"/>
      <c r="D19" s="13" t="str">
        <f>IF(F44&gt;0,"Zunahme kufri Schulden","")</f>
        <v>Zunahme kufri Schulden</v>
      </c>
      <c r="E19" s="17"/>
      <c r="F19" s="59">
        <f>IF(F44&gt;0,F44,"")</f>
        <v>22.760940000001028</v>
      </c>
      <c r="G19" s="8"/>
      <c r="H19" s="8"/>
      <c r="I19" s="107" t="str">
        <f>I37</f>
        <v>Vorjahr</v>
      </c>
      <c r="J19" s="17"/>
      <c r="K19" s="108">
        <f>K37</f>
        <v>2010</v>
      </c>
    </row>
    <row r="20" spans="1:14" ht="14.25" thickTop="1" thickBot="1" x14ac:dyDescent="0.25">
      <c r="A20" s="73"/>
      <c r="B20" s="74"/>
      <c r="C20" s="74">
        <f>SUM(C8:C19)</f>
        <v>8842.3748300000025</v>
      </c>
      <c r="D20" s="73"/>
      <c r="E20" s="74"/>
      <c r="F20" s="75">
        <f>SUM(F11:F19)</f>
        <v>8842.3748300000007</v>
      </c>
      <c r="G20" s="8"/>
      <c r="H20" s="8"/>
      <c r="I20" s="104">
        <f>J77/J62</f>
        <v>-2.8268207059061315E-2</v>
      </c>
      <c r="J20" s="36"/>
      <c r="K20" s="105">
        <f>F30/K62</f>
        <v>4.038224244265512E-2</v>
      </c>
    </row>
    <row r="21" spans="1:14" x14ac:dyDescent="0.2">
      <c r="B21" s="8"/>
      <c r="C21" s="8"/>
      <c r="D21" s="8"/>
      <c r="E21" s="8"/>
      <c r="F21" s="8"/>
      <c r="G21" s="8"/>
      <c r="H21" s="8"/>
      <c r="I21" s="8"/>
      <c r="J21" s="8"/>
      <c r="K21" s="8"/>
    </row>
    <row r="22" spans="1:14" ht="13.5" thickBot="1" x14ac:dyDescent="0.25">
      <c r="B22" s="8"/>
      <c r="C22" s="8"/>
      <c r="D22" s="8"/>
      <c r="E22" s="8"/>
      <c r="F22" s="8"/>
      <c r="G22" s="8"/>
      <c r="H22" s="8"/>
      <c r="I22" s="8"/>
      <c r="J22" s="8"/>
      <c r="K22" s="8"/>
    </row>
    <row r="23" spans="1:14" ht="16.5" thickBot="1" x14ac:dyDescent="0.3">
      <c r="A23" s="53" t="s">
        <v>24</v>
      </c>
      <c r="B23" s="3"/>
      <c r="C23" s="3"/>
      <c r="D23" s="3"/>
      <c r="E23" s="3"/>
      <c r="F23" s="54"/>
      <c r="G23" s="8"/>
      <c r="H23" s="8"/>
      <c r="I23" s="149" t="s">
        <v>45</v>
      </c>
      <c r="J23" s="150"/>
      <c r="K23" s="151"/>
    </row>
    <row r="24" spans="1:14" ht="13.5" thickBot="1" x14ac:dyDescent="0.25">
      <c r="A24" s="15"/>
      <c r="B24" s="16"/>
      <c r="C24" s="16"/>
      <c r="D24" s="16"/>
      <c r="E24" s="16"/>
      <c r="F24" s="78">
        <f>E60</f>
        <v>2010</v>
      </c>
      <c r="G24" s="8"/>
      <c r="H24" s="8"/>
      <c r="I24" s="13"/>
      <c r="J24" s="17"/>
      <c r="K24" s="23"/>
    </row>
    <row r="25" spans="1:14" x14ac:dyDescent="0.2">
      <c r="A25" s="13"/>
      <c r="B25" s="17"/>
      <c r="C25" s="17"/>
      <c r="D25" s="17"/>
      <c r="E25" s="17"/>
      <c r="F25" s="18"/>
      <c r="G25" s="8"/>
      <c r="H25" s="8"/>
      <c r="I25" s="13"/>
      <c r="J25" s="21" t="s">
        <v>16</v>
      </c>
      <c r="K25" s="23"/>
      <c r="M25" s="62"/>
    </row>
    <row r="26" spans="1:14" x14ac:dyDescent="0.2">
      <c r="A26" s="13" t="s">
        <v>26</v>
      </c>
      <c r="B26" s="17"/>
      <c r="C26" s="17"/>
      <c r="D26" s="17"/>
      <c r="E26" s="17"/>
      <c r="F26" s="22">
        <f>$K74</f>
        <v>2155.1869799999999</v>
      </c>
      <c r="G26" s="8"/>
      <c r="H26" s="8"/>
      <c r="I26" s="13"/>
      <c r="J26" s="30" t="s">
        <v>11</v>
      </c>
      <c r="K26" s="23"/>
    </row>
    <row r="27" spans="1:14" x14ac:dyDescent="0.2">
      <c r="A27" s="13" t="s">
        <v>5</v>
      </c>
      <c r="B27" s="17"/>
      <c r="C27" s="17"/>
      <c r="D27" s="17"/>
      <c r="E27" s="17"/>
      <c r="F27" s="22">
        <f>$K65</f>
        <v>949.10900000000004</v>
      </c>
      <c r="G27" s="8"/>
      <c r="H27" s="8"/>
      <c r="I27" s="13"/>
      <c r="J27" s="17"/>
      <c r="K27" s="23"/>
    </row>
    <row r="28" spans="1:14" x14ac:dyDescent="0.2">
      <c r="A28" s="13" t="s">
        <v>44</v>
      </c>
      <c r="B28" s="17"/>
      <c r="C28" s="17"/>
      <c r="D28" s="17"/>
      <c r="E28" s="17"/>
      <c r="F28" s="22">
        <f>$E68-$D68</f>
        <v>346.77300000000105</v>
      </c>
      <c r="G28" s="8"/>
      <c r="H28" s="8"/>
      <c r="I28" s="107" t="str">
        <f>I37</f>
        <v>Vorjahr</v>
      </c>
      <c r="J28" s="17"/>
      <c r="K28" s="108">
        <f>K46</f>
        <v>2010</v>
      </c>
    </row>
    <row r="29" spans="1:14" ht="13.5" thickBot="1" x14ac:dyDescent="0.25">
      <c r="A29" s="13"/>
      <c r="B29" s="17"/>
      <c r="C29" s="17"/>
      <c r="D29" s="17"/>
      <c r="E29" s="17"/>
      <c r="F29" s="22"/>
      <c r="G29" s="8"/>
      <c r="H29" s="8"/>
      <c r="I29" s="77">
        <f>J71/J68</f>
        <v>-6.9892660448097574</v>
      </c>
      <c r="J29" s="36"/>
      <c r="K29" s="63">
        <f>K71/K68</f>
        <v>3.5508131609761553</v>
      </c>
    </row>
    <row r="30" spans="1:14" x14ac:dyDescent="0.2">
      <c r="A30" s="24" t="s">
        <v>6</v>
      </c>
      <c r="B30" s="14"/>
      <c r="C30" s="14"/>
      <c r="D30" s="14"/>
      <c r="E30" s="14"/>
      <c r="F30" s="25">
        <f>SUM(F26:F28)</f>
        <v>3451.0689800000009</v>
      </c>
      <c r="G30" s="8"/>
      <c r="H30" s="8"/>
      <c r="I30" s="8"/>
      <c r="J30" s="8"/>
      <c r="K30" s="8"/>
    </row>
    <row r="31" spans="1:14" ht="13.5" thickBot="1" x14ac:dyDescent="0.25">
      <c r="A31" s="13"/>
      <c r="B31" s="17"/>
      <c r="C31" s="17"/>
      <c r="D31" s="17"/>
      <c r="E31" s="17"/>
      <c r="F31" s="22"/>
      <c r="G31" s="8"/>
      <c r="H31" s="8"/>
      <c r="I31" s="8"/>
      <c r="J31" s="8"/>
      <c r="K31" s="8"/>
    </row>
    <row r="32" spans="1:14" x14ac:dyDescent="0.2">
      <c r="A32" s="26" t="str">
        <f>IF(D63-E63&lt;0,"- zunehmende Debitoren","+ abnehmende Debitoren")</f>
        <v>- zunehmende Debitoren</v>
      </c>
      <c r="B32" s="17"/>
      <c r="C32" s="17"/>
      <c r="D32" s="17"/>
      <c r="E32" s="17"/>
      <c r="F32" s="22">
        <f>$D63-$E63</f>
        <v>-5545.0356400000019</v>
      </c>
      <c r="G32" s="8"/>
      <c r="H32" s="8"/>
      <c r="I32" s="149" t="s">
        <v>17</v>
      </c>
      <c r="J32" s="150"/>
      <c r="K32" s="151"/>
      <c r="L32"/>
      <c r="M32"/>
      <c r="N32"/>
    </row>
    <row r="33" spans="1:14" x14ac:dyDescent="0.2">
      <c r="A33" s="26" t="str">
        <f>IF(D64-E64&lt;0,"- zunehmende Bestände","+ abnehmende Bestände")</f>
        <v>- zunehmende Bestände</v>
      </c>
      <c r="B33" s="17"/>
      <c r="C33" s="17"/>
      <c r="D33" s="17"/>
      <c r="E33" s="17"/>
      <c r="F33" s="22">
        <f>$D64-$E64</f>
        <v>-836.52067999999963</v>
      </c>
      <c r="G33" s="8"/>
      <c r="H33" s="8"/>
      <c r="I33" s="13"/>
      <c r="J33" s="17"/>
      <c r="K33" s="23"/>
      <c r="L33"/>
      <c r="M33"/>
      <c r="N33"/>
    </row>
    <row r="34" spans="1:14" x14ac:dyDescent="0.2">
      <c r="A34" s="26" t="str">
        <f>IF(E72-D72&gt;0,"+ zunehmende Anzahlungen","- abnehmende Anzahlungen")</f>
        <v>- abnehmende Anzahlungen</v>
      </c>
      <c r="B34" s="17"/>
      <c r="C34" s="17"/>
      <c r="D34" s="17"/>
      <c r="E34" s="17"/>
      <c r="F34" s="22">
        <f>$E72-$D72</f>
        <v>-1420.8522599999999</v>
      </c>
      <c r="G34" s="8"/>
      <c r="H34" s="8"/>
      <c r="I34" s="13"/>
      <c r="J34" s="10" t="s">
        <v>16</v>
      </c>
      <c r="K34" s="23"/>
    </row>
    <row r="35" spans="1:14" x14ac:dyDescent="0.2">
      <c r="A35" s="26" t="str">
        <f>IF(E71-D71&lt;0,"- abnehmende Rückstellungen","+ zunehmende Rückstellungen")</f>
        <v>- abnehmende Rückstellungen</v>
      </c>
      <c r="B35" s="17"/>
      <c r="C35" s="17"/>
      <c r="D35" s="17"/>
      <c r="E35" s="17"/>
      <c r="F35" s="22">
        <f>$E71-$D71</f>
        <v>-267.92493000000104</v>
      </c>
      <c r="G35" s="8"/>
      <c r="H35" s="8"/>
      <c r="I35" s="13"/>
      <c r="J35" s="30" t="s">
        <v>0</v>
      </c>
      <c r="K35" s="23"/>
    </row>
    <row r="36" spans="1:14" x14ac:dyDescent="0.2">
      <c r="A36" s="26" t="str">
        <f>IF(E73-D73&gt;0,"+ zunehmende Kreditoren","- abnehmende Kreditoren")</f>
        <v>+ zunehmende Kreditoren</v>
      </c>
      <c r="B36" s="17"/>
      <c r="C36" s="17"/>
      <c r="D36" s="17"/>
      <c r="E36" s="17"/>
      <c r="F36" s="22">
        <f>$E73-$D73</f>
        <v>5368.5449099999996</v>
      </c>
      <c r="G36" s="8"/>
      <c r="H36" s="8"/>
      <c r="I36" s="13"/>
      <c r="J36" s="17"/>
      <c r="K36" s="23"/>
    </row>
    <row r="37" spans="1:14" x14ac:dyDescent="0.2">
      <c r="A37" s="14" t="s">
        <v>55</v>
      </c>
      <c r="B37" s="14"/>
      <c r="C37" s="14"/>
      <c r="D37" s="14"/>
      <c r="E37" s="14"/>
      <c r="F37" s="25">
        <f>SUM(F32:F36)</f>
        <v>-2701.7886000000026</v>
      </c>
      <c r="G37" s="8"/>
      <c r="H37" s="8"/>
      <c r="I37" s="107" t="str">
        <f>D60</f>
        <v>Vorjahr</v>
      </c>
      <c r="J37" s="17"/>
      <c r="K37" s="108">
        <f>E60</f>
        <v>2010</v>
      </c>
    </row>
    <row r="38" spans="1:14" ht="13.5" thickBot="1" x14ac:dyDescent="0.25">
      <c r="A38" s="24" t="s">
        <v>7</v>
      </c>
      <c r="B38" s="14"/>
      <c r="C38" s="14"/>
      <c r="D38" s="14"/>
      <c r="E38" s="14"/>
      <c r="F38" s="25">
        <f>SUM(F30:F36)</f>
        <v>749.28037999999833</v>
      </c>
      <c r="G38" s="8"/>
      <c r="H38" s="8"/>
      <c r="I38" s="104">
        <f>J71/J62</f>
        <v>-4.5475810023780393E-2</v>
      </c>
      <c r="J38" s="36"/>
      <c r="K38" s="105">
        <f>K71/K62</f>
        <v>3.8902684088966973E-2</v>
      </c>
    </row>
    <row r="39" spans="1:14" x14ac:dyDescent="0.2">
      <c r="A39" s="13"/>
      <c r="B39" s="17"/>
      <c r="C39" s="17"/>
      <c r="D39" s="17"/>
      <c r="E39" s="17"/>
      <c r="F39" s="22"/>
      <c r="G39" s="8"/>
      <c r="H39" s="8"/>
      <c r="I39" s="8"/>
      <c r="J39" s="8"/>
      <c r="K39" s="8"/>
    </row>
    <row r="40" spans="1:14" ht="13.5" thickBot="1" x14ac:dyDescent="0.25">
      <c r="A40" s="13" t="s">
        <v>54</v>
      </c>
      <c r="B40" s="17"/>
      <c r="C40" s="17"/>
      <c r="D40" s="17"/>
      <c r="E40" s="17"/>
      <c r="F40" s="22">
        <f>-$E61+$D61-$K65</f>
        <v>-725.79100000000074</v>
      </c>
      <c r="G40" s="8"/>
      <c r="H40" s="8"/>
      <c r="I40" s="8"/>
      <c r="J40" s="8"/>
      <c r="K40" s="8"/>
    </row>
    <row r="41" spans="1:14" x14ac:dyDescent="0.2">
      <c r="A41" s="24" t="s">
        <v>8</v>
      </c>
      <c r="B41" s="14"/>
      <c r="C41" s="14"/>
      <c r="D41" s="14"/>
      <c r="E41" s="14"/>
      <c r="F41" s="25">
        <f>F38+F40</f>
        <v>23.489379999997595</v>
      </c>
      <c r="G41" s="8"/>
      <c r="H41" s="8"/>
      <c r="I41" s="160" t="s">
        <v>47</v>
      </c>
      <c r="J41" s="161"/>
      <c r="K41" s="162"/>
    </row>
    <row r="42" spans="1:14" x14ac:dyDescent="0.2">
      <c r="A42" s="26"/>
      <c r="B42" s="17"/>
      <c r="C42" s="17"/>
      <c r="D42" s="17"/>
      <c r="E42" s="17"/>
      <c r="F42" s="22"/>
      <c r="G42" s="8"/>
      <c r="H42" s="8"/>
      <c r="I42" s="13"/>
      <c r="J42" s="17"/>
      <c r="K42" s="23"/>
    </row>
    <row r="43" spans="1:14" x14ac:dyDescent="0.2">
      <c r="A43" s="13" t="str">
        <f>IF(E68-D68&gt;0,"+ zunehmende Schulden (lafri)","- abnehmende Schulden (lafri)")</f>
        <v>+ zunehmende Schulden (lafri)</v>
      </c>
      <c r="B43" s="17"/>
      <c r="C43" s="17"/>
      <c r="D43" s="17"/>
      <c r="E43" s="17"/>
      <c r="F43" s="22">
        <f>$E69-$D69</f>
        <v>0</v>
      </c>
      <c r="G43" s="8"/>
      <c r="H43" s="8"/>
      <c r="I43" s="13"/>
      <c r="J43" s="10" t="s">
        <v>13</v>
      </c>
      <c r="K43" s="23"/>
    </row>
    <row r="44" spans="1:14" x14ac:dyDescent="0.2">
      <c r="A44" s="26" t="str">
        <f>IF(E73-D73&gt;0,"+ zunehmende Schulden (kufri)","- abnehmende Schulden (kufri)")</f>
        <v>+ zunehmende Schulden (kufri)</v>
      </c>
      <c r="B44" s="26"/>
      <c r="C44" s="17"/>
      <c r="D44" s="17"/>
      <c r="E44" s="17"/>
      <c r="F44" s="22">
        <f>$E74-$D74</f>
        <v>22.760940000001028</v>
      </c>
      <c r="G44" s="8"/>
      <c r="H44" s="8"/>
      <c r="I44" s="13"/>
      <c r="J44" s="30" t="s">
        <v>18</v>
      </c>
      <c r="K44" s="23"/>
    </row>
    <row r="45" spans="1:14" x14ac:dyDescent="0.2">
      <c r="A45" s="26"/>
      <c r="B45" s="17"/>
      <c r="C45" s="17"/>
      <c r="D45" s="17"/>
      <c r="E45" s="17"/>
      <c r="F45" s="22"/>
      <c r="G45" s="8"/>
      <c r="H45" s="8"/>
      <c r="I45" s="13"/>
      <c r="J45" s="17"/>
      <c r="K45" s="23"/>
    </row>
    <row r="46" spans="1:14" x14ac:dyDescent="0.2">
      <c r="A46" s="14" t="s">
        <v>56</v>
      </c>
      <c r="B46" s="14"/>
      <c r="C46" s="14"/>
      <c r="D46" s="14"/>
      <c r="E46" s="14"/>
      <c r="F46" s="25">
        <f>SUM(F43:F45)</f>
        <v>22.760940000001028</v>
      </c>
      <c r="G46" s="8"/>
      <c r="H46" s="8"/>
      <c r="I46" s="107" t="str">
        <f>D60</f>
        <v>Vorjahr</v>
      </c>
      <c r="J46" s="17"/>
      <c r="K46" s="108">
        <f>E60</f>
        <v>2010</v>
      </c>
    </row>
    <row r="47" spans="1:14" ht="13.5" thickBot="1" x14ac:dyDescent="0.25">
      <c r="A47" s="27" t="s">
        <v>10</v>
      </c>
      <c r="B47" s="28"/>
      <c r="C47" s="28"/>
      <c r="D47" s="28"/>
      <c r="E47" s="28"/>
      <c r="F47" s="29">
        <f>SUM(F41:F45)</f>
        <v>46.250319999998624</v>
      </c>
      <c r="G47" s="8"/>
      <c r="H47" s="8"/>
      <c r="I47" s="104">
        <f>D67/D76</f>
        <v>0.20815566015966522</v>
      </c>
      <c r="J47" s="36"/>
      <c r="K47" s="105">
        <f>E67/E76</f>
        <v>0.23058728566859166</v>
      </c>
    </row>
    <row r="48" spans="1:14" x14ac:dyDescent="0.2">
      <c r="A48" s="17"/>
      <c r="B48" s="17"/>
      <c r="C48" s="17"/>
      <c r="D48" s="17"/>
      <c r="E48" s="17"/>
      <c r="F48" s="17"/>
      <c r="G48" s="8"/>
      <c r="H48" s="8"/>
      <c r="I48" s="8"/>
      <c r="J48" s="8"/>
      <c r="K48" s="8"/>
    </row>
    <row r="49" spans="1:13" ht="13.5" thickBot="1" x14ac:dyDescent="0.25">
      <c r="A49" s="17"/>
      <c r="B49" s="17"/>
      <c r="C49" s="17"/>
      <c r="D49" s="17"/>
      <c r="E49" s="17"/>
      <c r="F49" s="17"/>
      <c r="G49" s="8"/>
      <c r="H49" s="8"/>
      <c r="I49" s="8"/>
      <c r="J49" s="8"/>
      <c r="K49" s="8"/>
    </row>
    <row r="50" spans="1:13" x14ac:dyDescent="0.2">
      <c r="A50" s="149" t="s">
        <v>48</v>
      </c>
      <c r="B50" s="150"/>
      <c r="C50" s="151"/>
      <c r="D50" s="149" t="s">
        <v>49</v>
      </c>
      <c r="E50" s="158"/>
      <c r="F50" s="158"/>
      <c r="G50" s="158"/>
      <c r="H50" s="159"/>
      <c r="I50" s="39"/>
      <c r="J50" s="45" t="s">
        <v>50</v>
      </c>
      <c r="K50" s="33"/>
    </row>
    <row r="51" spans="1:13" x14ac:dyDescent="0.2">
      <c r="A51" s="13"/>
      <c r="B51" s="17"/>
      <c r="C51" s="23"/>
      <c r="D51" s="13"/>
      <c r="E51" s="17"/>
      <c r="F51" s="17"/>
      <c r="G51" s="17"/>
      <c r="H51" s="23"/>
      <c r="I51" s="42"/>
      <c r="J51" s="17"/>
      <c r="K51" s="23"/>
    </row>
    <row r="52" spans="1:13" x14ac:dyDescent="0.2">
      <c r="A52" s="40"/>
      <c r="B52" s="31" t="s">
        <v>23</v>
      </c>
      <c r="C52" s="44"/>
      <c r="D52" s="46"/>
      <c r="E52" s="31" t="s">
        <v>21</v>
      </c>
      <c r="F52" s="32"/>
      <c r="G52" s="17"/>
      <c r="H52" s="23"/>
      <c r="I52" s="34" t="s">
        <v>19</v>
      </c>
      <c r="J52" s="9"/>
      <c r="K52" s="35"/>
    </row>
    <row r="53" spans="1:13" x14ac:dyDescent="0.2">
      <c r="A53" s="13"/>
      <c r="B53" s="30" t="s">
        <v>9</v>
      </c>
      <c r="C53" s="23"/>
      <c r="D53" s="13"/>
      <c r="E53" s="30" t="s">
        <v>22</v>
      </c>
      <c r="F53" s="17"/>
      <c r="G53" s="17"/>
      <c r="H53" s="23"/>
      <c r="I53" s="13"/>
      <c r="J53" s="43" t="s">
        <v>20</v>
      </c>
      <c r="K53" s="23"/>
    </row>
    <row r="54" spans="1:13" x14ac:dyDescent="0.2">
      <c r="A54" s="13"/>
      <c r="B54" s="17"/>
      <c r="C54" s="23"/>
      <c r="D54" s="13"/>
      <c r="E54" s="17"/>
      <c r="F54" s="17"/>
      <c r="G54" s="17"/>
      <c r="H54" s="23"/>
      <c r="I54" s="42"/>
      <c r="J54" s="17"/>
      <c r="K54" s="23"/>
    </row>
    <row r="55" spans="1:13" x14ac:dyDescent="0.2">
      <c r="A55" s="107" t="str">
        <f>D60</f>
        <v>Vorjahr</v>
      </c>
      <c r="B55" s="17"/>
      <c r="C55" s="108">
        <f>E60</f>
        <v>2010</v>
      </c>
      <c r="D55" s="107" t="str">
        <f>D60</f>
        <v>Vorjahr</v>
      </c>
      <c r="E55" s="17"/>
      <c r="F55" s="109">
        <f>E60</f>
        <v>2010</v>
      </c>
      <c r="G55" s="17"/>
      <c r="H55" s="23"/>
      <c r="I55" s="107" t="str">
        <f>D60</f>
        <v>Vorjahr</v>
      </c>
      <c r="J55" s="17"/>
      <c r="K55" s="108">
        <f>E60</f>
        <v>2010</v>
      </c>
    </row>
    <row r="56" spans="1:13" ht="13.5" thickBot="1" x14ac:dyDescent="0.25">
      <c r="A56" s="77">
        <f>(D70+D75-D62)/J77</f>
        <v>-12.831451997120006</v>
      </c>
      <c r="B56" s="36"/>
      <c r="C56" s="63">
        <f>(E70+E75-E62)/F30</f>
        <v>8.2306777710366106</v>
      </c>
      <c r="D56" s="104">
        <f>(D62+D63)/D75</f>
        <v>0.92723515125957667</v>
      </c>
      <c r="E56" s="36"/>
      <c r="F56" s="106">
        <f>(E62+E63)/E75</f>
        <v>1.025474693580672</v>
      </c>
      <c r="G56" s="36"/>
      <c r="H56" s="38"/>
      <c r="I56" s="104">
        <f>(D67+D70)/D61</f>
        <v>1.2839821955875674</v>
      </c>
      <c r="J56" s="36"/>
      <c r="K56" s="105">
        <f>(E67+E70)/E61</f>
        <v>1.5258790841151988</v>
      </c>
    </row>
    <row r="57" spans="1:13" x14ac:dyDescent="0.2">
      <c r="A57" s="4"/>
      <c r="B57" s="4"/>
      <c r="C57" s="4"/>
      <c r="D57" s="4"/>
      <c r="E57" s="4"/>
      <c r="F57" s="4"/>
    </row>
    <row r="59" spans="1:13" ht="13.5" thickBot="1" x14ac:dyDescent="0.25">
      <c r="A59" s="72" t="s">
        <v>36</v>
      </c>
      <c r="I59" s="148" t="s">
        <v>27</v>
      </c>
      <c r="J59" s="148"/>
      <c r="K59" s="148"/>
    </row>
    <row r="60" spans="1:13" ht="16.5" thickBot="1" x14ac:dyDescent="0.3">
      <c r="A60" s="79"/>
      <c r="B60" s="80"/>
      <c r="C60" s="81"/>
      <c r="D60" s="82" t="s">
        <v>59</v>
      </c>
      <c r="E60" s="83">
        <v>2010</v>
      </c>
      <c r="I60" s="15"/>
      <c r="J60" s="92" t="str">
        <f>D60</f>
        <v>Vorjahr</v>
      </c>
      <c r="K60" s="93">
        <f>E60</f>
        <v>2010</v>
      </c>
      <c r="M60" s="61"/>
    </row>
    <row r="61" spans="1:13" x14ac:dyDescent="0.2">
      <c r="A61" s="84" t="s">
        <v>28</v>
      </c>
      <c r="B61" s="85"/>
      <c r="C61" s="85"/>
      <c r="D61" s="86">
        <f>'Finanzbericht 2009'!E61</f>
        <v>11983.892239999999</v>
      </c>
      <c r="E61" s="87">
        <v>11760.57424</v>
      </c>
      <c r="I61" s="94" t="s">
        <v>0</v>
      </c>
      <c r="J61" s="95"/>
      <c r="K61" s="96"/>
    </row>
    <row r="62" spans="1:13" x14ac:dyDescent="0.2">
      <c r="A62" s="13" t="s">
        <v>12</v>
      </c>
      <c r="B62" s="17"/>
      <c r="C62" s="17"/>
      <c r="D62" s="88">
        <f>'Finanzbericht 2009'!E62</f>
        <v>2642.8168300000002</v>
      </c>
      <c r="E62" s="41">
        <v>2745.2171499999999</v>
      </c>
      <c r="I62" s="97"/>
      <c r="J62" s="88">
        <f>'Finanzbericht 2009'!K62</f>
        <v>67428.294479999997</v>
      </c>
      <c r="K62" s="41">
        <v>85460.062919999997</v>
      </c>
    </row>
    <row r="63" spans="1:13" ht="13.5" thickBot="1" x14ac:dyDescent="0.25">
      <c r="A63" s="13" t="s">
        <v>43</v>
      </c>
      <c r="B63" s="17"/>
      <c r="C63" s="17"/>
      <c r="D63" s="88">
        <f>'Finanzbericht 2009'!E63</f>
        <v>14823.967199999999</v>
      </c>
      <c r="E63" s="88">
        <v>20369.002840000001</v>
      </c>
      <c r="I63" s="98"/>
      <c r="J63" s="88"/>
      <c r="K63" s="99"/>
    </row>
    <row r="64" spans="1:13" x14ac:dyDescent="0.2">
      <c r="A64" s="13" t="s">
        <v>29</v>
      </c>
      <c r="B64" s="17"/>
      <c r="C64" s="17"/>
      <c r="D64" s="88">
        <f>'Finanzbericht 2009'!E64</f>
        <v>4773.9192300000004</v>
      </c>
      <c r="E64" s="41">
        <v>5610.4399100000001</v>
      </c>
      <c r="I64" s="94" t="s">
        <v>5</v>
      </c>
      <c r="J64" s="95"/>
      <c r="K64" s="96"/>
    </row>
    <row r="65" spans="1:11" ht="13.5" thickBot="1" x14ac:dyDescent="0.25">
      <c r="A65" s="84" t="s">
        <v>30</v>
      </c>
      <c r="B65" s="85"/>
      <c r="C65" s="85"/>
      <c r="D65" s="86">
        <f>SUM(D62:D64)</f>
        <v>22240.703259999998</v>
      </c>
      <c r="E65" s="87">
        <f>SUM(E62:E64)</f>
        <v>28724.659900000002</v>
      </c>
      <c r="I65" s="97"/>
      <c r="J65" s="88">
        <f>'Finanzbericht 2009'!K65</f>
        <v>1211.73594</v>
      </c>
      <c r="K65" s="41">
        <v>949.10900000000004</v>
      </c>
    </row>
    <row r="66" spans="1:11" ht="16.5" thickBot="1" x14ac:dyDescent="0.3">
      <c r="A66" s="79" t="s">
        <v>31</v>
      </c>
      <c r="B66" s="80"/>
      <c r="C66" s="80"/>
      <c r="D66" s="89">
        <f>D61+D65</f>
        <v>34224.595499999996</v>
      </c>
      <c r="E66" s="90">
        <f>E61+E65</f>
        <v>40485.23414</v>
      </c>
      <c r="I66" s="98"/>
      <c r="J66" s="100"/>
      <c r="K66" s="99"/>
    </row>
    <row r="67" spans="1:11" x14ac:dyDescent="0.2">
      <c r="A67" s="84" t="s">
        <v>32</v>
      </c>
      <c r="B67" s="85"/>
      <c r="C67" s="85"/>
      <c r="D67" s="86">
        <f>'Finanzbericht 2009'!E67</f>
        <v>7124.0432700000101</v>
      </c>
      <c r="E67" s="87">
        <f>9335380.25/1000</f>
        <v>9335.3802500000002</v>
      </c>
      <c r="I67" s="94" t="s">
        <v>11</v>
      </c>
      <c r="J67" s="88"/>
      <c r="K67" s="96"/>
    </row>
    <row r="68" spans="1:11" x14ac:dyDescent="0.2">
      <c r="A68" s="13" t="s">
        <v>39</v>
      </c>
      <c r="B68" s="17"/>
      <c r="C68" s="17"/>
      <c r="D68" s="88">
        <f>'Finanzbericht 2009'!E68</f>
        <v>8063.0609999999997</v>
      </c>
      <c r="E68" s="41">
        <v>8409.8340000000007</v>
      </c>
      <c r="I68" s="97"/>
      <c r="J68" s="88">
        <f>'Finanzbericht 2009'!K68</f>
        <v>438.72364999999996</v>
      </c>
      <c r="K68" s="41">
        <f>974.47085-38.171</f>
        <v>936.29984999999999</v>
      </c>
    </row>
    <row r="69" spans="1:11" ht="13.5" thickBot="1" x14ac:dyDescent="0.25">
      <c r="A69" s="13" t="s">
        <v>38</v>
      </c>
      <c r="B69" s="17"/>
      <c r="C69" s="17"/>
      <c r="D69" s="88">
        <f>'Finanzbericht 2009'!E69</f>
        <v>200</v>
      </c>
      <c r="E69" s="41">
        <v>200</v>
      </c>
      <c r="I69" s="97"/>
      <c r="J69" s="88"/>
      <c r="K69" s="41"/>
    </row>
    <row r="70" spans="1:11" x14ac:dyDescent="0.2">
      <c r="A70" s="84" t="s">
        <v>33</v>
      </c>
      <c r="B70" s="85"/>
      <c r="C70" s="85"/>
      <c r="D70" s="86">
        <f>SUM(D68:D69)</f>
        <v>8263.0609999999997</v>
      </c>
      <c r="E70" s="87">
        <f>SUM(E68:E69)</f>
        <v>8609.8340000000007</v>
      </c>
      <c r="I70" s="94" t="s">
        <v>16</v>
      </c>
      <c r="J70" s="95"/>
      <c r="K70" s="96"/>
    </row>
    <row r="71" spans="1:11" x14ac:dyDescent="0.2">
      <c r="A71" s="13" t="s">
        <v>42</v>
      </c>
      <c r="B71" s="17"/>
      <c r="C71" s="17"/>
      <c r="D71" s="88">
        <f>'Finanzbericht 2009'!E71</f>
        <v>9353.1739400000006</v>
      </c>
      <c r="E71" s="41">
        <f>9085249.01/1000</f>
        <v>9085.2490099999995</v>
      </c>
      <c r="I71" s="97"/>
      <c r="J71" s="88">
        <f>'Finanzbericht 2009'!K71</f>
        <v>-3066.3563100000001</v>
      </c>
      <c r="K71" s="41">
        <f>2810.03512+514.59071</f>
        <v>3324.62583</v>
      </c>
    </row>
    <row r="72" spans="1:11" ht="13.5" thickBot="1" x14ac:dyDescent="0.25">
      <c r="A72" s="13" t="s">
        <v>37</v>
      </c>
      <c r="B72" s="17"/>
      <c r="C72" s="17"/>
      <c r="D72" s="88">
        <f>'Finanzbericht 2009'!E72</f>
        <v>1420.8522599999999</v>
      </c>
      <c r="E72" s="41">
        <v>0</v>
      </c>
      <c r="I72" s="98"/>
      <c r="J72" s="100"/>
      <c r="K72" s="99"/>
    </row>
    <row r="73" spans="1:11" x14ac:dyDescent="0.2">
      <c r="A73" s="13" t="s">
        <v>41</v>
      </c>
      <c r="B73" s="17"/>
      <c r="C73" s="17"/>
      <c r="D73" s="88">
        <f>'Finanzbericht 2009'!E73</f>
        <v>3553.3449300000002</v>
      </c>
      <c r="E73" s="88">
        <f>8184.95241+736.93743</f>
        <v>8921.8898399999998</v>
      </c>
      <c r="I73" s="94" t="s">
        <v>4</v>
      </c>
      <c r="J73" s="88"/>
      <c r="K73" s="96"/>
    </row>
    <row r="74" spans="1:11" s="56" customFormat="1" x14ac:dyDescent="0.2">
      <c r="A74" s="13" t="s">
        <v>40</v>
      </c>
      <c r="B74" s="17"/>
      <c r="C74" s="17"/>
      <c r="D74" s="88">
        <f>'Finanzbericht 2009'!E74</f>
        <v>4510.1200999999992</v>
      </c>
      <c r="E74" s="41">
        <f>4432.88104+100</f>
        <v>4532.8810400000002</v>
      </c>
      <c r="I74" s="97"/>
      <c r="J74" s="88">
        <f>'Finanzbericht 2009'!K74</f>
        <v>-3478.0689300000004</v>
      </c>
      <c r="K74" s="41">
        <v>2155.1869799999999</v>
      </c>
    </row>
    <row r="75" spans="1:11" ht="13.5" thickBot="1" x14ac:dyDescent="0.25">
      <c r="A75" s="84" t="s">
        <v>34</v>
      </c>
      <c r="B75" s="85"/>
      <c r="C75" s="85"/>
      <c r="D75" s="86">
        <f>SUM(D71:D74)</f>
        <v>18837.49123</v>
      </c>
      <c r="E75" s="87">
        <f>SUM(E71:E74)</f>
        <v>22540.01989</v>
      </c>
      <c r="I75" s="101"/>
      <c r="J75" s="100"/>
      <c r="K75" s="99"/>
    </row>
    <row r="76" spans="1:11" ht="16.5" thickBot="1" x14ac:dyDescent="0.3">
      <c r="A76" s="79" t="s">
        <v>35</v>
      </c>
      <c r="B76" s="80"/>
      <c r="C76" s="80"/>
      <c r="D76" s="89">
        <f>D75+D70+D67</f>
        <v>34224.59550000001</v>
      </c>
      <c r="E76" s="90">
        <f>E75+E70+E67</f>
        <v>40485.23414</v>
      </c>
      <c r="I76" s="12" t="s">
        <v>9</v>
      </c>
      <c r="J76" s="102"/>
      <c r="K76" s="33"/>
    </row>
    <row r="77" spans="1:11" ht="13.5" thickBot="1" x14ac:dyDescent="0.25">
      <c r="A77" s="8"/>
      <c r="B77" s="8"/>
      <c r="C77" s="8"/>
      <c r="D77" s="8"/>
      <c r="E77" s="91" t="str">
        <f>IF(E76=E66, "i.O.", "Fehler!")</f>
        <v>i.O.</v>
      </c>
      <c r="I77" s="13"/>
      <c r="J77" s="112">
        <f>'Finanzbericht 2009'!K77</f>
        <v>-1906.0769900000009</v>
      </c>
      <c r="K77" s="41">
        <f>F30</f>
        <v>3451.0689800000009</v>
      </c>
    </row>
    <row r="78" spans="1:11" ht="13.5" thickBot="1" x14ac:dyDescent="0.25">
      <c r="I78" s="101"/>
      <c r="J78" s="103"/>
      <c r="K78" s="38"/>
    </row>
    <row r="82" spans="1:6" x14ac:dyDescent="0.2">
      <c r="A82" s="17"/>
      <c r="B82" s="17"/>
      <c r="C82" s="17"/>
      <c r="D82" s="30"/>
      <c r="E82" s="30"/>
      <c r="F82" s="4"/>
    </row>
    <row r="83" spans="1:6" x14ac:dyDescent="0.2">
      <c r="A83" s="17"/>
      <c r="B83" s="17"/>
      <c r="C83" s="17"/>
      <c r="D83" s="30"/>
      <c r="E83" s="30"/>
      <c r="F83" s="4"/>
    </row>
    <row r="84" spans="1:6" x14ac:dyDescent="0.2">
      <c r="A84" s="4"/>
      <c r="B84" s="4"/>
      <c r="C84" s="4"/>
      <c r="D84" s="4"/>
      <c r="E84" s="4"/>
      <c r="F84" s="4"/>
    </row>
    <row r="90" spans="1:6" x14ac:dyDescent="0.2">
      <c r="A90" s="64"/>
      <c r="B90" s="4"/>
      <c r="C90" s="4"/>
    </row>
    <row r="91" spans="1:6" x14ac:dyDescent="0.2">
      <c r="A91" s="4"/>
      <c r="B91" s="4"/>
      <c r="C91" s="4"/>
    </row>
    <row r="92" spans="1:6" x14ac:dyDescent="0.2">
      <c r="A92" s="4"/>
      <c r="B92" s="68"/>
      <c r="C92" s="68"/>
    </row>
    <row r="93" spans="1:6" x14ac:dyDescent="0.2">
      <c r="A93" s="4"/>
      <c r="B93" s="4"/>
      <c r="C93" s="4"/>
    </row>
    <row r="94" spans="1:6" x14ac:dyDescent="0.2">
      <c r="A94" s="69"/>
      <c r="B94" s="4"/>
      <c r="C94" s="4"/>
    </row>
    <row r="95" spans="1:6" x14ac:dyDescent="0.2">
      <c r="A95" s="4"/>
      <c r="B95" s="4"/>
      <c r="C95" s="4"/>
    </row>
    <row r="96" spans="1:6" x14ac:dyDescent="0.2">
      <c r="A96" s="4"/>
      <c r="B96" s="67"/>
      <c r="C96" s="67"/>
    </row>
    <row r="97" spans="1:3" x14ac:dyDescent="0.2">
      <c r="A97" s="4"/>
      <c r="B97" s="68"/>
      <c r="C97" s="68"/>
    </row>
    <row r="98" spans="1:3" x14ac:dyDescent="0.2">
      <c r="A98" s="4"/>
      <c r="B98" s="4"/>
      <c r="C98" s="4"/>
    </row>
    <row r="99" spans="1:3" x14ac:dyDescent="0.2">
      <c r="A99" s="4"/>
      <c r="B99" s="4"/>
      <c r="C99" s="4"/>
    </row>
    <row r="100" spans="1:3" x14ac:dyDescent="0.2">
      <c r="A100" s="4"/>
      <c r="B100" s="4"/>
      <c r="C100" s="4"/>
    </row>
    <row r="101" spans="1:3" x14ac:dyDescent="0.2">
      <c r="A101" s="4"/>
      <c r="B101" s="4"/>
      <c r="C101" s="4"/>
    </row>
    <row r="102" spans="1:3" x14ac:dyDescent="0.2">
      <c r="A102" s="4"/>
      <c r="B102" s="4"/>
      <c r="C102" s="4"/>
    </row>
    <row r="103" spans="1:3" x14ac:dyDescent="0.2">
      <c r="A103" s="4"/>
      <c r="B103" s="4"/>
      <c r="C103" s="4"/>
    </row>
    <row r="104" spans="1:3" x14ac:dyDescent="0.2">
      <c r="A104" s="4"/>
      <c r="B104" s="68"/>
      <c r="C104" s="68"/>
    </row>
    <row r="105" spans="1:3" x14ac:dyDescent="0.2">
      <c r="A105" s="4"/>
      <c r="B105" s="67"/>
      <c r="C105" s="67"/>
    </row>
    <row r="106" spans="1:3" x14ac:dyDescent="0.2">
      <c r="A106" s="4"/>
      <c r="B106" s="4"/>
      <c r="C106" s="4"/>
    </row>
    <row r="107" spans="1:3" x14ac:dyDescent="0.2">
      <c r="A107" s="4"/>
      <c r="B107" s="4"/>
      <c r="C107" s="4"/>
    </row>
    <row r="108" spans="1:3" x14ac:dyDescent="0.2">
      <c r="A108" s="64"/>
      <c r="B108" s="4"/>
      <c r="C108" s="4"/>
    </row>
    <row r="109" spans="1:3" x14ac:dyDescent="0.2">
      <c r="A109" s="4"/>
      <c r="B109" s="4"/>
      <c r="C109" s="4"/>
    </row>
    <row r="110" spans="1:3" x14ac:dyDescent="0.2">
      <c r="A110" s="4"/>
      <c r="B110" s="68"/>
      <c r="C110" s="68"/>
    </row>
    <row r="111" spans="1:3" x14ac:dyDescent="0.2">
      <c r="A111" s="4"/>
      <c r="B111" s="67"/>
      <c r="C111" s="67"/>
    </row>
    <row r="112" spans="1:3" x14ac:dyDescent="0.2">
      <c r="A112" s="4"/>
      <c r="B112" s="4"/>
      <c r="C112" s="4"/>
    </row>
    <row r="113" spans="1:3" x14ac:dyDescent="0.2">
      <c r="A113" s="4"/>
      <c r="B113" s="4"/>
      <c r="C113" s="4"/>
    </row>
    <row r="114" spans="1:3" x14ac:dyDescent="0.2">
      <c r="A114" s="64"/>
      <c r="B114" s="4"/>
      <c r="C114" s="4"/>
    </row>
    <row r="115" spans="1:3" x14ac:dyDescent="0.2">
      <c r="A115" s="4"/>
      <c r="B115" s="4"/>
      <c r="C115" s="4"/>
    </row>
    <row r="116" spans="1:3" x14ac:dyDescent="0.2">
      <c r="A116" s="4"/>
      <c r="B116" s="68"/>
      <c r="C116" s="68"/>
    </row>
    <row r="117" spans="1:3" x14ac:dyDescent="0.2">
      <c r="A117" s="4"/>
      <c r="B117" s="67"/>
      <c r="C117" s="67"/>
    </row>
    <row r="118" spans="1:3" x14ac:dyDescent="0.2">
      <c r="A118" s="4"/>
      <c r="B118" s="4"/>
      <c r="C118" s="4"/>
    </row>
    <row r="119" spans="1:3" x14ac:dyDescent="0.2">
      <c r="A119" s="4"/>
      <c r="B119" s="4"/>
      <c r="C119" s="4"/>
    </row>
    <row r="120" spans="1:3" x14ac:dyDescent="0.2">
      <c r="A120" s="64"/>
      <c r="B120" s="4"/>
      <c r="C120" s="4"/>
    </row>
    <row r="121" spans="1:3" x14ac:dyDescent="0.2">
      <c r="A121" s="4"/>
      <c r="B121" s="4"/>
      <c r="C121" s="4"/>
    </row>
    <row r="122" spans="1:3" x14ac:dyDescent="0.2">
      <c r="A122" s="65"/>
      <c r="B122" s="66"/>
      <c r="C122" s="65"/>
    </row>
    <row r="123" spans="1:3" x14ac:dyDescent="0.2">
      <c r="A123" s="65"/>
      <c r="B123" s="66"/>
      <c r="C123" s="65"/>
    </row>
    <row r="124" spans="1:3" x14ac:dyDescent="0.2">
      <c r="A124" s="65"/>
      <c r="B124" s="65"/>
      <c r="C124" s="65"/>
    </row>
    <row r="125" spans="1:3" x14ac:dyDescent="0.2">
      <c r="A125" s="4"/>
      <c r="B125" s="4"/>
      <c r="C125" s="4"/>
    </row>
    <row r="126" spans="1:3" x14ac:dyDescent="0.2">
      <c r="A126" s="4"/>
      <c r="B126" s="4"/>
      <c r="C126" s="4"/>
    </row>
    <row r="127" spans="1:3" x14ac:dyDescent="0.2">
      <c r="A127" s="70"/>
      <c r="B127" s="71"/>
      <c r="C127" s="4"/>
    </row>
  </sheetData>
  <mergeCells count="10">
    <mergeCell ref="I41:K41"/>
    <mergeCell ref="A50:C50"/>
    <mergeCell ref="D50:H50"/>
    <mergeCell ref="I59:K59"/>
    <mergeCell ref="I5:K5"/>
    <mergeCell ref="I7:K7"/>
    <mergeCell ref="I8:K8"/>
    <mergeCell ref="I14:K14"/>
    <mergeCell ref="I23:K23"/>
    <mergeCell ref="I32:K32"/>
  </mergeCells>
  <printOptions horizontalCentered="1" gridLinesSet="0"/>
  <pageMargins left="0.78740157480314965" right="0.59055118110236227" top="0.78740157480314965" bottom="0.78740157480314965" header="0.51181102362204722" footer="0.51181102362204722"/>
  <pageSetup paperSize="9" scale="71" orientation="portrait" horizontalDpi="3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Q127"/>
  <sheetViews>
    <sheetView showGridLines="0" topLeftCell="A43" zoomScale="110" zoomScaleNormal="110" workbookViewId="0">
      <selection activeCell="N76" sqref="N76"/>
    </sheetView>
  </sheetViews>
  <sheetFormatPr baseColWidth="10" defaultRowHeight="12.75" x14ac:dyDescent="0.2"/>
  <cols>
    <col min="1" max="1" width="11.7109375" style="2" customWidth="1"/>
    <col min="2" max="2" width="8.28515625" style="2" customWidth="1"/>
    <col min="3" max="3" width="11.85546875" style="2" customWidth="1"/>
    <col min="4" max="4" width="11.42578125" style="2"/>
    <col min="5" max="5" width="10.42578125" style="2" customWidth="1"/>
    <col min="6" max="6" width="9.42578125" style="2" customWidth="1"/>
    <col min="7" max="7" width="1.28515625" style="2" customWidth="1"/>
    <col min="8" max="8" width="3.42578125" style="2" customWidth="1"/>
    <col min="9" max="9" width="8.7109375" style="2" customWidth="1"/>
    <col min="10" max="10" width="10.5703125" style="2" customWidth="1"/>
    <col min="11" max="11" width="9.42578125" style="2" customWidth="1"/>
    <col min="12" max="16384" width="11.42578125" style="2"/>
  </cols>
  <sheetData>
    <row r="1" spans="1:17" ht="20.25" x14ac:dyDescent="0.3">
      <c r="A1" s="55" t="s">
        <v>58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pans="1:17" s="1" customFormat="1" x14ac:dyDescent="0.2">
      <c r="A2" s="6"/>
      <c r="B2" s="7"/>
      <c r="C2" s="7"/>
      <c r="D2" s="7"/>
      <c r="E2" s="7"/>
      <c r="F2" s="7"/>
      <c r="G2" s="7"/>
      <c r="H2" s="7"/>
      <c r="I2" s="7"/>
      <c r="J2" s="7"/>
      <c r="K2" s="7"/>
    </row>
    <row r="3" spans="1:17" s="1" customFormat="1" x14ac:dyDescent="0.2">
      <c r="A3" s="6"/>
      <c r="B3" s="7"/>
      <c r="C3" s="7"/>
      <c r="D3" s="7"/>
      <c r="E3" s="7"/>
      <c r="F3" s="7"/>
      <c r="G3" s="7"/>
      <c r="H3" s="7"/>
      <c r="I3" s="7"/>
      <c r="J3" s="7"/>
      <c r="K3" s="7"/>
      <c r="L3" s="76" t="str">
        <f>IF(C20=F20,"i.O.","Fehler!")</f>
        <v>i.O.</v>
      </c>
    </row>
    <row r="4" spans="1:17" ht="13.5" thickBot="1" x14ac:dyDescent="0.25">
      <c r="A4" s="8"/>
      <c r="B4" s="8"/>
      <c r="C4" s="8"/>
      <c r="D4" s="8"/>
      <c r="E4" s="8"/>
      <c r="F4" s="8"/>
      <c r="G4" s="8"/>
      <c r="H4" s="8"/>
      <c r="I4" s="8"/>
      <c r="J4" s="8"/>
      <c r="K4" s="8"/>
    </row>
    <row r="5" spans="1:17" ht="15.75" x14ac:dyDescent="0.25">
      <c r="A5" s="47" t="s">
        <v>1</v>
      </c>
      <c r="B5" s="48"/>
      <c r="C5" s="48"/>
      <c r="D5" s="48"/>
      <c r="E5" s="48"/>
      <c r="F5" s="49"/>
      <c r="G5" s="8"/>
      <c r="H5" s="8"/>
      <c r="I5" s="149" t="s">
        <v>15</v>
      </c>
      <c r="J5" s="150"/>
      <c r="K5" s="151"/>
      <c r="N5" s="4"/>
      <c r="O5" s="64"/>
      <c r="P5" s="4"/>
      <c r="Q5" s="4"/>
    </row>
    <row r="6" spans="1:17" ht="15.75" x14ac:dyDescent="0.25">
      <c r="A6" s="50"/>
      <c r="B6" s="19"/>
      <c r="C6" s="19"/>
      <c r="D6" s="19"/>
      <c r="E6" s="19"/>
      <c r="F6" s="20"/>
      <c r="G6" s="8"/>
      <c r="H6" s="8"/>
      <c r="I6" s="110" t="s">
        <v>51</v>
      </c>
      <c r="J6" s="17"/>
      <c r="K6" s="23"/>
      <c r="N6" s="4"/>
      <c r="O6" s="4"/>
      <c r="P6" s="4"/>
      <c r="Q6" s="4"/>
    </row>
    <row r="7" spans="1:17" ht="13.5" thickBot="1" x14ac:dyDescent="0.25">
      <c r="A7" s="51" t="s">
        <v>2</v>
      </c>
      <c r="B7" s="19" t="s">
        <v>14</v>
      </c>
      <c r="C7" s="19"/>
      <c r="D7" s="52" t="s">
        <v>3</v>
      </c>
      <c r="E7" s="19" t="s">
        <v>14</v>
      </c>
      <c r="F7" s="20"/>
      <c r="G7" s="8"/>
      <c r="H7" s="8"/>
      <c r="I7" s="155" t="s">
        <v>16</v>
      </c>
      <c r="J7" s="156"/>
      <c r="K7" s="157"/>
      <c r="N7" s="4"/>
      <c r="O7" s="65"/>
      <c r="P7" s="65"/>
      <c r="Q7" s="65"/>
    </row>
    <row r="8" spans="1:17" x14ac:dyDescent="0.2">
      <c r="A8" s="12" t="s">
        <v>25</v>
      </c>
      <c r="B8" s="11"/>
      <c r="C8" s="11">
        <f>-F40</f>
        <v>-249.06705999999986</v>
      </c>
      <c r="D8" s="12" t="s">
        <v>26</v>
      </c>
      <c r="E8" s="11"/>
      <c r="F8" s="33">
        <f>F26</f>
        <v>-3478.0689300000004</v>
      </c>
      <c r="G8" s="8"/>
      <c r="H8" s="8"/>
      <c r="I8" s="152" t="s">
        <v>53</v>
      </c>
      <c r="J8" s="153"/>
      <c r="K8" s="154"/>
      <c r="N8" s="4"/>
      <c r="O8" s="65"/>
      <c r="P8" s="66"/>
      <c r="Q8" s="65"/>
    </row>
    <row r="9" spans="1:17" x14ac:dyDescent="0.2">
      <c r="A9" s="13" t="str">
        <f>IF(F32&lt;0,"Zunahme Debitoren","")</f>
        <v/>
      </c>
      <c r="B9" s="17"/>
      <c r="C9" s="17" t="str">
        <f>IF(F32&lt;0,-F32,"")</f>
        <v/>
      </c>
      <c r="D9" s="13" t="s">
        <v>5</v>
      </c>
      <c r="E9" s="17"/>
      <c r="F9" s="23">
        <f>F27</f>
        <v>1211.73594</v>
      </c>
      <c r="G9" s="8"/>
      <c r="H9" s="8"/>
      <c r="I9" s="13"/>
      <c r="J9" s="17"/>
      <c r="K9" s="23"/>
      <c r="N9" s="4"/>
      <c r="O9" s="65"/>
      <c r="P9" s="65"/>
      <c r="Q9" s="65"/>
    </row>
    <row r="10" spans="1:17" x14ac:dyDescent="0.2">
      <c r="A10" s="13" t="str">
        <f>IF(F33&lt;0,"Zunahme Bestände","")</f>
        <v/>
      </c>
      <c r="B10" s="17"/>
      <c r="C10" s="17" t="str">
        <f>IF(F33&lt;0,-F33,"")</f>
        <v/>
      </c>
      <c r="D10" s="34" t="s">
        <v>52</v>
      </c>
      <c r="E10" s="9"/>
      <c r="F10" s="35">
        <f>F28</f>
        <v>360.2559999999994</v>
      </c>
      <c r="G10" s="8"/>
      <c r="H10" s="8"/>
      <c r="I10" s="107" t="str">
        <f>I19</f>
        <v>Vorjahr</v>
      </c>
      <c r="J10" s="17"/>
      <c r="K10" s="108">
        <f>K19</f>
        <v>2009</v>
      </c>
      <c r="N10" s="4"/>
      <c r="O10" s="4"/>
      <c r="P10" s="4"/>
      <c r="Q10" s="4"/>
    </row>
    <row r="11" spans="1:17" ht="13.5" thickBot="1" x14ac:dyDescent="0.25">
      <c r="A11" s="13" t="str">
        <f>IF(F34&lt;0,"Abnahme Anzahlungen","")</f>
        <v/>
      </c>
      <c r="B11" s="17"/>
      <c r="C11" s="23" t="str">
        <f>IF(F34&lt;0,-F34,"")</f>
        <v/>
      </c>
      <c r="D11" s="57" t="s">
        <v>6</v>
      </c>
      <c r="E11" s="58"/>
      <c r="F11" s="23">
        <f>SUM(F8:F10)</f>
        <v>-1906.0769900000009</v>
      </c>
      <c r="G11" s="8"/>
      <c r="H11" s="8"/>
      <c r="I11" s="104">
        <f>J71/D76</f>
        <v>-7.6541150416066017E-2</v>
      </c>
      <c r="J11" s="36"/>
      <c r="K11" s="60">
        <f>K71/((E76))</f>
        <v>-8.9595107413322064E-2</v>
      </c>
      <c r="N11" s="4"/>
      <c r="O11" s="65"/>
      <c r="P11" s="65"/>
      <c r="Q11" s="65"/>
    </row>
    <row r="12" spans="1:17" x14ac:dyDescent="0.2">
      <c r="A12" s="13" t="str">
        <f>IF(F35&lt;0,"Abn. Rückstellungen","")</f>
        <v>Abn. Rückstellungen</v>
      </c>
      <c r="B12" s="17"/>
      <c r="C12" s="23">
        <f>IF(F35&lt;0,-F35,"")</f>
        <v>5431.3582099999985</v>
      </c>
      <c r="D12" s="13" t="str">
        <f>IF(F32&gt;0,"Abnahme Debitoren","")</f>
        <v>Abnahme Debitoren</v>
      </c>
      <c r="E12" s="17"/>
      <c r="F12" s="23">
        <f>IF(F32&gt;0,F32,"")</f>
        <v>2966.9973399999981</v>
      </c>
      <c r="G12" s="8"/>
      <c r="H12" s="8"/>
      <c r="I12" s="111" t="s">
        <v>57</v>
      </c>
      <c r="J12" s="8"/>
      <c r="K12" s="8"/>
      <c r="N12" s="4"/>
      <c r="O12" s="65"/>
      <c r="P12" s="65"/>
      <c r="Q12" s="65"/>
    </row>
    <row r="13" spans="1:17" ht="13.5" thickBot="1" x14ac:dyDescent="0.25">
      <c r="A13" s="13" t="str">
        <f>IF(F36&lt;0,"Abnahme Kreditoren","")</f>
        <v>Abnahme Kreditoren</v>
      </c>
      <c r="B13" s="17"/>
      <c r="C13" s="23">
        <f>IF(F36&lt;0,-F36,"")</f>
        <v>1360.3753799999995</v>
      </c>
      <c r="D13" s="13" t="str">
        <f>IF(F33&gt;0,"Bestandsabbau","")</f>
        <v>Bestandsabbau</v>
      </c>
      <c r="E13" s="17"/>
      <c r="F13" s="23">
        <f>IF(F33&gt;0,F33,"")</f>
        <v>8488.7588099999994</v>
      </c>
      <c r="G13" s="8"/>
      <c r="H13" s="8"/>
      <c r="I13" s="8"/>
      <c r="J13" s="8"/>
      <c r="K13" s="8"/>
      <c r="N13" s="4"/>
      <c r="O13" s="4"/>
      <c r="P13" s="4"/>
      <c r="Q13" s="4"/>
    </row>
    <row r="14" spans="1:17" x14ac:dyDescent="0.2">
      <c r="A14" s="13" t="str">
        <f>IF(F47&gt;0,"Aufbau FlüMi","")</f>
        <v>Aufbau FlüMi</v>
      </c>
      <c r="B14" s="17"/>
      <c r="C14" s="23">
        <f>IF(F47&gt;0,F47,"")</f>
        <v>2248.8146299999962</v>
      </c>
      <c r="D14" s="13" t="str">
        <f>IF(F34&gt;0,"Zunahme Anzahlungen","")</f>
        <v>Zunahme Anzahlungen</v>
      </c>
      <c r="E14" s="17"/>
      <c r="F14" s="23">
        <f>IF(F34&gt;0,F34,"")</f>
        <v>1420.8522599999999</v>
      </c>
      <c r="G14" s="8"/>
      <c r="H14" s="8"/>
      <c r="I14" s="149" t="s">
        <v>46</v>
      </c>
      <c r="J14" s="150"/>
      <c r="K14" s="151"/>
      <c r="N14" s="4"/>
      <c r="O14" s="67"/>
      <c r="P14" s="67"/>
      <c r="Q14" s="67"/>
    </row>
    <row r="15" spans="1:17" x14ac:dyDescent="0.2">
      <c r="A15" s="13" t="str">
        <f>IF(F43&lt;0,"Abn. lafri Schulden","")</f>
        <v>Abn. lafri Schulden</v>
      </c>
      <c r="B15" s="17"/>
      <c r="C15" s="23">
        <f>IF(F43&lt;0,-F43,"")</f>
        <v>200</v>
      </c>
      <c r="D15" s="13" t="str">
        <f>IF(F35&gt;0,"Zunahme Rückstellungen","")</f>
        <v/>
      </c>
      <c r="E15" s="17"/>
      <c r="F15" s="23" t="str">
        <f>IF(F35&gt;0,F35,"")</f>
        <v/>
      </c>
      <c r="G15" s="8"/>
      <c r="H15" s="8"/>
      <c r="I15" s="13"/>
      <c r="J15" s="17"/>
      <c r="K15" s="23"/>
      <c r="N15" s="4"/>
      <c r="O15" s="67"/>
      <c r="P15" s="67"/>
      <c r="Q15" s="67"/>
    </row>
    <row r="16" spans="1:17" x14ac:dyDescent="0.2">
      <c r="A16" s="13" t="str">
        <f>IF(F44&lt;0,"Abn. kufri Schulden","")</f>
        <v>Abn. kufri Schulden</v>
      </c>
      <c r="B16" s="17"/>
      <c r="C16" s="23">
        <f>IF(F44&lt;0,-F44,"")</f>
        <v>1979.0502600000009</v>
      </c>
      <c r="D16" s="13" t="str">
        <f>IF(F36&gt;0,"Zunahme Kreditoren","")</f>
        <v/>
      </c>
      <c r="E16" s="17"/>
      <c r="F16" s="23" t="str">
        <f>IF(F36&gt;0,F36,"")</f>
        <v/>
      </c>
      <c r="G16" s="8"/>
      <c r="H16" s="8"/>
      <c r="I16" s="13"/>
      <c r="J16" s="37" t="s">
        <v>9</v>
      </c>
      <c r="K16" s="23"/>
    </row>
    <row r="17" spans="1:14" x14ac:dyDescent="0.2">
      <c r="A17" s="13"/>
      <c r="B17" s="17"/>
      <c r="C17" s="17"/>
      <c r="D17" s="13" t="str">
        <f>IF(F47&lt;0,"Abbau FlüMi","")</f>
        <v/>
      </c>
      <c r="E17" s="17"/>
      <c r="F17" s="23" t="str">
        <f>IF(F47&lt;0,-F47,"")</f>
        <v/>
      </c>
      <c r="G17" s="8"/>
      <c r="H17" s="8"/>
      <c r="I17" s="13"/>
      <c r="J17" s="30" t="s">
        <v>0</v>
      </c>
      <c r="K17" s="23"/>
    </row>
    <row r="18" spans="1:14" x14ac:dyDescent="0.2">
      <c r="A18" s="13"/>
      <c r="B18" s="17"/>
      <c r="C18" s="17"/>
      <c r="D18" s="13" t="str">
        <f>IF(F43&gt;0,"Zunahme lafri Schulden","")</f>
        <v/>
      </c>
      <c r="E18" s="17"/>
      <c r="F18" s="23" t="str">
        <f>IF(F43&gt;0,F43,"")</f>
        <v/>
      </c>
      <c r="G18" s="8"/>
      <c r="H18" s="8"/>
      <c r="I18" s="13"/>
      <c r="J18" s="17"/>
      <c r="K18" s="23"/>
    </row>
    <row r="19" spans="1:14" ht="13.5" thickBot="1" x14ac:dyDescent="0.25">
      <c r="A19" s="13"/>
      <c r="B19" s="17"/>
      <c r="C19" s="59"/>
      <c r="D19" s="13" t="str">
        <f>IF(F44&gt;0,"Zunahme kufri Schulden","")</f>
        <v/>
      </c>
      <c r="E19" s="17"/>
      <c r="F19" s="59" t="str">
        <f>IF(F44&gt;0,F44,"")</f>
        <v/>
      </c>
      <c r="G19" s="8"/>
      <c r="H19" s="8"/>
      <c r="I19" s="107" t="str">
        <f>I37</f>
        <v>Vorjahr</v>
      </c>
      <c r="J19" s="17"/>
      <c r="K19" s="108">
        <f>K37</f>
        <v>2009</v>
      </c>
    </row>
    <row r="20" spans="1:14" ht="14.25" thickTop="1" thickBot="1" x14ac:dyDescent="0.25">
      <c r="A20" s="73"/>
      <c r="B20" s="74"/>
      <c r="C20" s="74">
        <f>SUM(C8:C19)</f>
        <v>10970.531419999996</v>
      </c>
      <c r="D20" s="73"/>
      <c r="E20" s="74"/>
      <c r="F20" s="75">
        <f>SUM(F11:F19)</f>
        <v>10970.531419999996</v>
      </c>
      <c r="G20" s="8"/>
      <c r="H20" s="8"/>
      <c r="I20" s="104">
        <f>J77/J62</f>
        <v>-3.5577894935104257E-2</v>
      </c>
      <c r="J20" s="36"/>
      <c r="K20" s="105">
        <f>F30/K62</f>
        <v>-2.8268207059061315E-2</v>
      </c>
    </row>
    <row r="21" spans="1:14" x14ac:dyDescent="0.2">
      <c r="B21" s="8"/>
      <c r="C21" s="8"/>
      <c r="D21" s="8"/>
      <c r="E21" s="8"/>
      <c r="F21" s="8"/>
      <c r="G21" s="8"/>
      <c r="H21" s="8"/>
      <c r="I21" s="8"/>
      <c r="J21" s="8"/>
      <c r="K21" s="8"/>
    </row>
    <row r="22" spans="1:14" ht="13.5" thickBot="1" x14ac:dyDescent="0.25">
      <c r="B22" s="8"/>
      <c r="C22" s="8"/>
      <c r="D22" s="8"/>
      <c r="E22" s="8"/>
      <c r="F22" s="8"/>
      <c r="G22" s="8"/>
      <c r="H22" s="8"/>
      <c r="I22" s="8"/>
      <c r="J22" s="8"/>
      <c r="K22" s="8"/>
    </row>
    <row r="23" spans="1:14" ht="16.5" thickBot="1" x14ac:dyDescent="0.3">
      <c r="A23" s="53" t="s">
        <v>24</v>
      </c>
      <c r="B23" s="3"/>
      <c r="C23" s="3"/>
      <c r="D23" s="3"/>
      <c r="E23" s="3"/>
      <c r="F23" s="54"/>
      <c r="G23" s="8"/>
      <c r="H23" s="8"/>
      <c r="I23" s="149" t="s">
        <v>45</v>
      </c>
      <c r="J23" s="150"/>
      <c r="K23" s="151"/>
    </row>
    <row r="24" spans="1:14" ht="13.5" thickBot="1" x14ac:dyDescent="0.25">
      <c r="A24" s="15"/>
      <c r="B24" s="16"/>
      <c r="C24" s="16"/>
      <c r="D24" s="16"/>
      <c r="E24" s="16"/>
      <c r="F24" s="78">
        <f>E60</f>
        <v>2009</v>
      </c>
      <c r="G24" s="8"/>
      <c r="H24" s="8"/>
      <c r="I24" s="13"/>
      <c r="J24" s="17"/>
      <c r="K24" s="23"/>
    </row>
    <row r="25" spans="1:14" x14ac:dyDescent="0.2">
      <c r="A25" s="13"/>
      <c r="B25" s="17"/>
      <c r="C25" s="17"/>
      <c r="D25" s="17"/>
      <c r="E25" s="17"/>
      <c r="F25" s="18"/>
      <c r="G25" s="8"/>
      <c r="H25" s="8"/>
      <c r="I25" s="13"/>
      <c r="J25" s="21" t="s">
        <v>16</v>
      </c>
      <c r="K25" s="23"/>
      <c r="M25" s="62"/>
    </row>
    <row r="26" spans="1:14" x14ac:dyDescent="0.2">
      <c r="A26" s="13" t="s">
        <v>26</v>
      </c>
      <c r="B26" s="17"/>
      <c r="C26" s="17"/>
      <c r="D26" s="17"/>
      <c r="E26" s="17"/>
      <c r="F26" s="22">
        <f>$K74</f>
        <v>-3478.0689300000004</v>
      </c>
      <c r="G26" s="8"/>
      <c r="H26" s="8"/>
      <c r="I26" s="13"/>
      <c r="J26" s="30" t="s">
        <v>11</v>
      </c>
      <c r="K26" s="23"/>
    </row>
    <row r="27" spans="1:14" x14ac:dyDescent="0.2">
      <c r="A27" s="13" t="s">
        <v>5</v>
      </c>
      <c r="B27" s="17"/>
      <c r="C27" s="17"/>
      <c r="D27" s="17"/>
      <c r="E27" s="17"/>
      <c r="F27" s="22">
        <f>$K65</f>
        <v>1211.73594</v>
      </c>
      <c r="G27" s="8"/>
      <c r="H27" s="8"/>
      <c r="I27" s="13"/>
      <c r="J27" s="17"/>
      <c r="K27" s="23"/>
    </row>
    <row r="28" spans="1:14" x14ac:dyDescent="0.2">
      <c r="A28" s="13" t="s">
        <v>44</v>
      </c>
      <c r="B28" s="17"/>
      <c r="C28" s="17"/>
      <c r="D28" s="17"/>
      <c r="E28" s="17"/>
      <c r="F28" s="22">
        <f>$E68-$D68</f>
        <v>360.2559999999994</v>
      </c>
      <c r="G28" s="8"/>
      <c r="H28" s="8"/>
      <c r="I28" s="107" t="str">
        <f>I37</f>
        <v>Vorjahr</v>
      </c>
      <c r="J28" s="17"/>
      <c r="K28" s="108">
        <f>K46</f>
        <v>2009</v>
      </c>
    </row>
    <row r="29" spans="1:14" ht="13.5" thickBot="1" x14ac:dyDescent="0.25">
      <c r="A29" s="13"/>
      <c r="B29" s="17"/>
      <c r="C29" s="17"/>
      <c r="D29" s="17"/>
      <c r="E29" s="17"/>
      <c r="F29" s="22"/>
      <c r="G29" s="8"/>
      <c r="H29" s="8"/>
      <c r="I29" s="77">
        <f>J71/J68</f>
        <v>-9.3941883954912644</v>
      </c>
      <c r="J29" s="36"/>
      <c r="K29" s="63">
        <f>K71/K68</f>
        <v>-6.9892660448097574</v>
      </c>
    </row>
    <row r="30" spans="1:14" x14ac:dyDescent="0.2">
      <c r="A30" s="24" t="s">
        <v>6</v>
      </c>
      <c r="B30" s="14"/>
      <c r="C30" s="14"/>
      <c r="D30" s="14"/>
      <c r="E30" s="14"/>
      <c r="F30" s="25">
        <f>SUM(F26:F28)</f>
        <v>-1906.0769900000009</v>
      </c>
      <c r="G30" s="8"/>
      <c r="H30" s="8"/>
      <c r="I30" s="8"/>
      <c r="J30" s="8"/>
      <c r="K30" s="8"/>
    </row>
    <row r="31" spans="1:14" ht="13.5" thickBot="1" x14ac:dyDescent="0.25">
      <c r="A31" s="13"/>
      <c r="B31" s="17"/>
      <c r="C31" s="17"/>
      <c r="D31" s="17"/>
      <c r="E31" s="17"/>
      <c r="F31" s="22"/>
      <c r="G31" s="8"/>
      <c r="H31" s="8"/>
      <c r="I31" s="8"/>
      <c r="J31" s="8"/>
      <c r="K31" s="8"/>
    </row>
    <row r="32" spans="1:14" x14ac:dyDescent="0.2">
      <c r="A32" s="26" t="str">
        <f>IF(D63-E63&lt;0,"- zunehmende Debitoren","+ abnehmende Debitoren")</f>
        <v>+ abnehmende Debitoren</v>
      </c>
      <c r="B32" s="17"/>
      <c r="C32" s="17"/>
      <c r="D32" s="17"/>
      <c r="E32" s="17"/>
      <c r="F32" s="22">
        <f>$D63-$E63</f>
        <v>2966.9973399999981</v>
      </c>
      <c r="G32" s="8"/>
      <c r="H32" s="8"/>
      <c r="I32" s="149" t="s">
        <v>17</v>
      </c>
      <c r="J32" s="150"/>
      <c r="K32" s="151"/>
      <c r="L32"/>
      <c r="M32"/>
      <c r="N32"/>
    </row>
    <row r="33" spans="1:14" x14ac:dyDescent="0.2">
      <c r="A33" s="26" t="str">
        <f>IF(D64-E64&lt;0,"- zunehmende Bestände","+ abnehmende Bestände")</f>
        <v>+ abnehmende Bestände</v>
      </c>
      <c r="B33" s="17"/>
      <c r="C33" s="17"/>
      <c r="D33" s="17"/>
      <c r="E33" s="17"/>
      <c r="F33" s="22">
        <f>$D64-$E64</f>
        <v>8488.7588099999994</v>
      </c>
      <c r="G33" s="8"/>
      <c r="H33" s="8"/>
      <c r="I33" s="13"/>
      <c r="J33" s="17"/>
      <c r="K33" s="23"/>
      <c r="L33"/>
      <c r="M33"/>
      <c r="N33"/>
    </row>
    <row r="34" spans="1:14" x14ac:dyDescent="0.2">
      <c r="A34" s="26" t="str">
        <f>IF(E72-D72&gt;0,"+ zunehmende Anzahlungen","- abnehmende Anzahlungen")</f>
        <v>+ zunehmende Anzahlungen</v>
      </c>
      <c r="B34" s="17"/>
      <c r="C34" s="17"/>
      <c r="D34" s="17"/>
      <c r="E34" s="17"/>
      <c r="F34" s="22">
        <f>$E72-$D72</f>
        <v>1420.8522599999999</v>
      </c>
      <c r="G34" s="8"/>
      <c r="H34" s="8"/>
      <c r="I34" s="13"/>
      <c r="J34" s="10" t="s">
        <v>16</v>
      </c>
      <c r="K34" s="23"/>
    </row>
    <row r="35" spans="1:14" x14ac:dyDescent="0.2">
      <c r="A35" s="26" t="str">
        <f>IF(E71-D71&lt;0,"- abnehmende Rückstellungen","+ zunehmende Rückstellungen")</f>
        <v>- abnehmende Rückstellungen</v>
      </c>
      <c r="B35" s="17"/>
      <c r="C35" s="17"/>
      <c r="D35" s="17"/>
      <c r="E35" s="17"/>
      <c r="F35" s="22">
        <f>$E71-$D71</f>
        <v>-5431.3582099999985</v>
      </c>
      <c r="G35" s="8"/>
      <c r="H35" s="8"/>
      <c r="I35" s="13"/>
      <c r="J35" s="30" t="s">
        <v>0</v>
      </c>
      <c r="K35" s="23"/>
    </row>
    <row r="36" spans="1:14" x14ac:dyDescent="0.2">
      <c r="A36" s="26" t="str">
        <f>IF(E73-D73&gt;0,"+ zunehmende Kreditoren","- abnehmende Kreditoren")</f>
        <v>- abnehmende Kreditoren</v>
      </c>
      <c r="B36" s="17"/>
      <c r="C36" s="17"/>
      <c r="D36" s="17"/>
      <c r="E36" s="17"/>
      <c r="F36" s="22">
        <f>$E73-$D73</f>
        <v>-1360.3753799999995</v>
      </c>
      <c r="G36" s="8"/>
      <c r="H36" s="8"/>
      <c r="I36" s="13"/>
      <c r="J36" s="17"/>
      <c r="K36" s="23"/>
    </row>
    <row r="37" spans="1:14" x14ac:dyDescent="0.2">
      <c r="A37" s="14" t="s">
        <v>55</v>
      </c>
      <c r="B37" s="14"/>
      <c r="C37" s="14"/>
      <c r="D37" s="14"/>
      <c r="E37" s="14"/>
      <c r="F37" s="25">
        <f>SUM(F32:F36)</f>
        <v>6084.8748199999991</v>
      </c>
      <c r="G37" s="8"/>
      <c r="H37" s="8"/>
      <c r="I37" s="107" t="str">
        <f>D60</f>
        <v>Vorjahr</v>
      </c>
      <c r="J37" s="17"/>
      <c r="K37" s="108">
        <f>E60</f>
        <v>2009</v>
      </c>
    </row>
    <row r="38" spans="1:14" ht="13.5" thickBot="1" x14ac:dyDescent="0.25">
      <c r="A38" s="24" t="s">
        <v>7</v>
      </c>
      <c r="B38" s="14"/>
      <c r="C38" s="14"/>
      <c r="D38" s="14"/>
      <c r="E38" s="14"/>
      <c r="F38" s="25">
        <f>SUM(F30:F36)</f>
        <v>4178.7978299999977</v>
      </c>
      <c r="G38" s="8"/>
      <c r="H38" s="8"/>
      <c r="I38" s="104">
        <f>J71/J62</f>
        <v>-3.8776523217480117E-2</v>
      </c>
      <c r="J38" s="36"/>
      <c r="K38" s="105">
        <f>K71/K62</f>
        <v>-4.5475810023780393E-2</v>
      </c>
    </row>
    <row r="39" spans="1:14" x14ac:dyDescent="0.2">
      <c r="A39" s="13"/>
      <c r="B39" s="17"/>
      <c r="C39" s="17"/>
      <c r="D39" s="17"/>
      <c r="E39" s="17"/>
      <c r="F39" s="22"/>
      <c r="G39" s="8"/>
      <c r="H39" s="8"/>
      <c r="I39" s="8"/>
      <c r="J39" s="8"/>
      <c r="K39" s="8"/>
    </row>
    <row r="40" spans="1:14" ht="13.5" thickBot="1" x14ac:dyDescent="0.25">
      <c r="A40" s="13" t="s">
        <v>54</v>
      </c>
      <c r="B40" s="17"/>
      <c r="C40" s="17"/>
      <c r="D40" s="17"/>
      <c r="E40" s="17"/>
      <c r="F40" s="22">
        <f>-$E61+$D61-$K65</f>
        <v>249.06705999999986</v>
      </c>
      <c r="G40" s="8"/>
      <c r="H40" s="8"/>
      <c r="I40" s="8"/>
      <c r="J40" s="8"/>
      <c r="K40" s="8"/>
    </row>
    <row r="41" spans="1:14" x14ac:dyDescent="0.2">
      <c r="A41" s="24" t="s">
        <v>8</v>
      </c>
      <c r="B41" s="14"/>
      <c r="C41" s="14"/>
      <c r="D41" s="14"/>
      <c r="E41" s="14"/>
      <c r="F41" s="25">
        <f>F38+F40</f>
        <v>4427.8648899999971</v>
      </c>
      <c r="G41" s="8"/>
      <c r="H41" s="8"/>
      <c r="I41" s="160" t="s">
        <v>47</v>
      </c>
      <c r="J41" s="161"/>
      <c r="K41" s="162"/>
    </row>
    <row r="42" spans="1:14" x14ac:dyDescent="0.2">
      <c r="A42" s="26"/>
      <c r="B42" s="17"/>
      <c r="C42" s="17"/>
      <c r="D42" s="17"/>
      <c r="E42" s="17"/>
      <c r="F42" s="22"/>
      <c r="G42" s="8"/>
      <c r="H42" s="8"/>
      <c r="I42" s="13"/>
      <c r="J42" s="17"/>
      <c r="K42" s="23"/>
    </row>
    <row r="43" spans="1:14" x14ac:dyDescent="0.2">
      <c r="A43" s="13" t="str">
        <f>IF(E68-D68&gt;0,"+ zunehmende Schulden (lafri)","- abnehmende Schulden (lafri)")</f>
        <v>+ zunehmende Schulden (lafri)</v>
      </c>
      <c r="B43" s="17"/>
      <c r="C43" s="17"/>
      <c r="D43" s="17"/>
      <c r="E43" s="17"/>
      <c r="F43" s="22">
        <f>$E69-$D69</f>
        <v>-200</v>
      </c>
      <c r="G43" s="8"/>
      <c r="H43" s="8"/>
      <c r="I43" s="13"/>
      <c r="J43" s="10" t="s">
        <v>13</v>
      </c>
      <c r="K43" s="23"/>
    </row>
    <row r="44" spans="1:14" x14ac:dyDescent="0.2">
      <c r="A44" s="26" t="str">
        <f>IF(E73-D73&gt;0,"+ zunehmende Schulden (kufri)","- abnehmende Schulden (kufri)")</f>
        <v>- abnehmende Schulden (kufri)</v>
      </c>
      <c r="B44" s="26"/>
      <c r="C44" s="17"/>
      <c r="D44" s="17"/>
      <c r="E44" s="17"/>
      <c r="F44" s="22">
        <f>$E74-$D74</f>
        <v>-1979.0502600000009</v>
      </c>
      <c r="G44" s="8"/>
      <c r="H44" s="8"/>
      <c r="I44" s="13"/>
      <c r="J44" s="30" t="s">
        <v>18</v>
      </c>
      <c r="K44" s="23"/>
    </row>
    <row r="45" spans="1:14" x14ac:dyDescent="0.2">
      <c r="A45" s="26"/>
      <c r="B45" s="17"/>
      <c r="C45" s="17"/>
      <c r="D45" s="17"/>
      <c r="E45" s="17"/>
      <c r="F45" s="22"/>
      <c r="G45" s="8"/>
      <c r="H45" s="8"/>
      <c r="I45" s="13"/>
      <c r="J45" s="17"/>
      <c r="K45" s="23"/>
    </row>
    <row r="46" spans="1:14" x14ac:dyDescent="0.2">
      <c r="A46" s="14" t="s">
        <v>56</v>
      </c>
      <c r="B46" s="14"/>
      <c r="C46" s="14"/>
      <c r="D46" s="14"/>
      <c r="E46" s="14"/>
      <c r="F46" s="25">
        <f>SUM(F43:F45)</f>
        <v>-2179.0502600000009</v>
      </c>
      <c r="G46" s="8"/>
      <c r="H46" s="8"/>
      <c r="I46" s="107" t="str">
        <f>D60</f>
        <v>Vorjahr</v>
      </c>
      <c r="J46" s="17"/>
      <c r="K46" s="108">
        <f>E60</f>
        <v>2009</v>
      </c>
    </row>
    <row r="47" spans="1:14" ht="13.5" thickBot="1" x14ac:dyDescent="0.25">
      <c r="A47" s="27" t="s">
        <v>10</v>
      </c>
      <c r="B47" s="28"/>
      <c r="C47" s="28"/>
      <c r="D47" s="28"/>
      <c r="E47" s="28"/>
      <c r="F47" s="29">
        <f>SUM(F41:F45)</f>
        <v>2248.8146299999962</v>
      </c>
      <c r="G47" s="8"/>
      <c r="H47" s="8"/>
      <c r="I47" s="104">
        <f>D67/D76</f>
        <v>0.23616751087772767</v>
      </c>
      <c r="J47" s="36"/>
      <c r="K47" s="105">
        <f>E67/E76</f>
        <v>0.20815566015966522</v>
      </c>
    </row>
    <row r="48" spans="1:14" x14ac:dyDescent="0.2">
      <c r="A48" s="17"/>
      <c r="B48" s="17"/>
      <c r="C48" s="17"/>
      <c r="D48" s="17"/>
      <c r="E48" s="17"/>
      <c r="F48" s="17"/>
      <c r="G48" s="8"/>
      <c r="H48" s="8"/>
      <c r="I48" s="8"/>
      <c r="J48" s="8"/>
      <c r="K48" s="8"/>
    </row>
    <row r="49" spans="1:13" ht="13.5" thickBot="1" x14ac:dyDescent="0.25">
      <c r="A49" s="17"/>
      <c r="B49" s="17"/>
      <c r="C49" s="17"/>
      <c r="D49" s="17"/>
      <c r="E49" s="17"/>
      <c r="F49" s="17"/>
      <c r="G49" s="8"/>
      <c r="H49" s="8"/>
      <c r="I49" s="8"/>
      <c r="J49" s="8"/>
      <c r="K49" s="8"/>
    </row>
    <row r="50" spans="1:13" x14ac:dyDescent="0.2">
      <c r="A50" s="149" t="s">
        <v>48</v>
      </c>
      <c r="B50" s="150"/>
      <c r="C50" s="151"/>
      <c r="D50" s="149" t="s">
        <v>49</v>
      </c>
      <c r="E50" s="158"/>
      <c r="F50" s="158"/>
      <c r="G50" s="158"/>
      <c r="H50" s="159"/>
      <c r="I50" s="39"/>
      <c r="J50" s="45" t="s">
        <v>50</v>
      </c>
      <c r="K50" s="33"/>
    </row>
    <row r="51" spans="1:13" x14ac:dyDescent="0.2">
      <c r="A51" s="13"/>
      <c r="B51" s="17"/>
      <c r="C51" s="23"/>
      <c r="D51" s="13"/>
      <c r="E51" s="17"/>
      <c r="F51" s="17"/>
      <c r="G51" s="17"/>
      <c r="H51" s="23"/>
      <c r="I51" s="42"/>
      <c r="J51" s="17"/>
      <c r="K51" s="23"/>
    </row>
    <row r="52" spans="1:13" x14ac:dyDescent="0.2">
      <c r="A52" s="40"/>
      <c r="B52" s="31" t="s">
        <v>23</v>
      </c>
      <c r="C52" s="44"/>
      <c r="D52" s="46"/>
      <c r="E52" s="31" t="s">
        <v>21</v>
      </c>
      <c r="F52" s="32"/>
      <c r="G52" s="17"/>
      <c r="H52" s="23"/>
      <c r="I52" s="34" t="s">
        <v>19</v>
      </c>
      <c r="J52" s="9"/>
      <c r="K52" s="35"/>
    </row>
    <row r="53" spans="1:13" x14ac:dyDescent="0.2">
      <c r="A53" s="13"/>
      <c r="B53" s="30" t="s">
        <v>9</v>
      </c>
      <c r="C53" s="23"/>
      <c r="D53" s="13"/>
      <c r="E53" s="30" t="s">
        <v>22</v>
      </c>
      <c r="F53" s="17"/>
      <c r="G53" s="17"/>
      <c r="H53" s="23"/>
      <c r="I53" s="13"/>
      <c r="J53" s="43" t="s">
        <v>20</v>
      </c>
      <c r="K53" s="23"/>
    </row>
    <row r="54" spans="1:13" x14ac:dyDescent="0.2">
      <c r="A54" s="13"/>
      <c r="B54" s="17"/>
      <c r="C54" s="23"/>
      <c r="D54" s="13"/>
      <c r="E54" s="17"/>
      <c r="F54" s="17"/>
      <c r="G54" s="17"/>
      <c r="H54" s="23"/>
      <c r="I54" s="42"/>
      <c r="J54" s="17"/>
      <c r="K54" s="23"/>
    </row>
    <row r="55" spans="1:13" x14ac:dyDescent="0.2">
      <c r="A55" s="107" t="str">
        <f>D60</f>
        <v>Vorjahr</v>
      </c>
      <c r="B55" s="17"/>
      <c r="C55" s="108">
        <f>E60</f>
        <v>2009</v>
      </c>
      <c r="D55" s="107" t="str">
        <f>D60</f>
        <v>Vorjahr</v>
      </c>
      <c r="E55" s="17"/>
      <c r="F55" s="109">
        <f>E60</f>
        <v>2009</v>
      </c>
      <c r="G55" s="17"/>
      <c r="H55" s="23"/>
      <c r="I55" s="107" t="str">
        <f>D60</f>
        <v>Vorjahr</v>
      </c>
      <c r="J55" s="17"/>
      <c r="K55" s="108">
        <f>E60</f>
        <v>2009</v>
      </c>
    </row>
    <row r="56" spans="1:13" ht="13.5" thickBot="1" x14ac:dyDescent="0.25">
      <c r="A56" s="77">
        <f>(D70+D75-D62)/J77</f>
        <v>-10.751590903547273</v>
      </c>
      <c r="B56" s="36"/>
      <c r="C56" s="63">
        <f>(E70+E75-E62)/F30</f>
        <v>-12.831451997120006</v>
      </c>
      <c r="D56" s="104">
        <f>(D62+D63)/D75</f>
        <v>0.69441605097969683</v>
      </c>
      <c r="E56" s="36"/>
      <c r="F56" s="106">
        <f>(E62+E63)/E75</f>
        <v>0.92723515125957667</v>
      </c>
      <c r="G56" s="36"/>
      <c r="H56" s="38"/>
      <c r="I56" s="104">
        <f>(D67+D70)/D61</f>
        <v>1.3912488804022902</v>
      </c>
      <c r="J56" s="36"/>
      <c r="K56" s="105">
        <f>(E67+E70)/E61</f>
        <v>1.2839821955875674</v>
      </c>
    </row>
    <row r="57" spans="1:13" x14ac:dyDescent="0.2">
      <c r="A57" s="4"/>
      <c r="B57" s="4"/>
      <c r="C57" s="4"/>
      <c r="D57" s="4"/>
      <c r="E57" s="4"/>
      <c r="F57" s="4"/>
    </row>
    <row r="59" spans="1:13" ht="13.5" thickBot="1" x14ac:dyDescent="0.25">
      <c r="A59" s="72" t="s">
        <v>36</v>
      </c>
      <c r="I59" s="148" t="s">
        <v>27</v>
      </c>
      <c r="J59" s="148"/>
      <c r="K59" s="148"/>
    </row>
    <row r="60" spans="1:13" ht="16.5" thickBot="1" x14ac:dyDescent="0.3">
      <c r="A60" s="79"/>
      <c r="B60" s="80"/>
      <c r="C60" s="81"/>
      <c r="D60" s="82" t="s">
        <v>59</v>
      </c>
      <c r="E60" s="83">
        <v>2009</v>
      </c>
      <c r="I60" s="15"/>
      <c r="J60" s="92" t="str">
        <f>D60</f>
        <v>Vorjahr</v>
      </c>
      <c r="K60" s="93">
        <f>E60</f>
        <v>2009</v>
      </c>
      <c r="M60" s="61"/>
    </row>
    <row r="61" spans="1:13" x14ac:dyDescent="0.2">
      <c r="A61" s="84" t="s">
        <v>28</v>
      </c>
      <c r="B61" s="85"/>
      <c r="C61" s="85"/>
      <c r="D61" s="86">
        <f>'Finanzbericht 2008'!E61</f>
        <v>13444.695239999999</v>
      </c>
      <c r="E61" s="87">
        <v>11983.892239999999</v>
      </c>
      <c r="I61" s="94" t="s">
        <v>0</v>
      </c>
      <c r="J61" s="95"/>
      <c r="K61" s="96"/>
    </row>
    <row r="62" spans="1:13" x14ac:dyDescent="0.2">
      <c r="A62" s="13" t="s">
        <v>12</v>
      </c>
      <c r="B62" s="17"/>
      <c r="C62" s="17"/>
      <c r="D62" s="88">
        <f>'Finanzbericht 2008'!E62</f>
        <v>394.00220000000002</v>
      </c>
      <c r="E62" s="41">
        <v>2642.8168300000002</v>
      </c>
      <c r="I62" s="97"/>
      <c r="J62" s="88">
        <f>'Finanzbericht 2008'!K62</f>
        <v>88613.188209999993</v>
      </c>
      <c r="K62" s="41">
        <v>67428.294479999997</v>
      </c>
    </row>
    <row r="63" spans="1:13" ht="13.5" thickBot="1" x14ac:dyDescent="0.25">
      <c r="A63" s="13" t="s">
        <v>43</v>
      </c>
      <c r="B63" s="17"/>
      <c r="C63" s="17"/>
      <c r="D63" s="88">
        <f>'Finanzbericht 2008'!E63</f>
        <v>17790.964539999997</v>
      </c>
      <c r="E63" s="88">
        <f>14821.4672+2.5</f>
        <v>14823.967199999999</v>
      </c>
      <c r="I63" s="98"/>
      <c r="J63" s="88"/>
      <c r="K63" s="99"/>
    </row>
    <row r="64" spans="1:13" x14ac:dyDescent="0.2">
      <c r="A64" s="13" t="s">
        <v>29</v>
      </c>
      <c r="B64" s="17"/>
      <c r="C64" s="17"/>
      <c r="D64" s="88">
        <f>'Finanzbericht 2008'!E64</f>
        <v>13262.678040000001</v>
      </c>
      <c r="E64" s="41">
        <v>4773.9192300000004</v>
      </c>
      <c r="I64" s="94" t="s">
        <v>5</v>
      </c>
      <c r="J64" s="95"/>
      <c r="K64" s="96"/>
    </row>
    <row r="65" spans="1:11" ht="13.5" thickBot="1" x14ac:dyDescent="0.25">
      <c r="A65" s="84" t="s">
        <v>30</v>
      </c>
      <c r="B65" s="85"/>
      <c r="C65" s="85"/>
      <c r="D65" s="86">
        <f>SUM(D62:D64)</f>
        <v>31447.644779999995</v>
      </c>
      <c r="E65" s="87">
        <f>SUM(E62:E64)</f>
        <v>22240.703259999998</v>
      </c>
      <c r="I65" s="97"/>
      <c r="J65" s="88">
        <f>'Finanzbericht 2008'!K65</f>
        <v>1258.5207700000001</v>
      </c>
      <c r="K65" s="41">
        <v>1211.73594</v>
      </c>
    </row>
    <row r="66" spans="1:11" ht="16.5" thickBot="1" x14ac:dyDescent="0.3">
      <c r="A66" s="79" t="s">
        <v>31</v>
      </c>
      <c r="B66" s="80"/>
      <c r="C66" s="80"/>
      <c r="D66" s="89">
        <f>D61+D65</f>
        <v>44892.340019999996</v>
      </c>
      <c r="E66" s="90">
        <f>E61+E65</f>
        <v>34224.595499999996</v>
      </c>
      <c r="I66" s="98"/>
      <c r="J66" s="100"/>
      <c r="K66" s="99"/>
    </row>
    <row r="67" spans="1:11" x14ac:dyDescent="0.2">
      <c r="A67" s="84" t="s">
        <v>32</v>
      </c>
      <c r="B67" s="85"/>
      <c r="C67" s="85"/>
      <c r="D67" s="86">
        <f>'Finanzbericht 2008'!E67</f>
        <v>10602.1122</v>
      </c>
      <c r="E67" s="87">
        <f>7124043.27000001/1000</f>
        <v>7124.0432700000101</v>
      </c>
      <c r="I67" s="94" t="s">
        <v>11</v>
      </c>
      <c r="J67" s="88"/>
      <c r="K67" s="96"/>
    </row>
    <row r="68" spans="1:11" x14ac:dyDescent="0.2">
      <c r="A68" s="13" t="s">
        <v>39</v>
      </c>
      <c r="B68" s="17"/>
      <c r="C68" s="17"/>
      <c r="D68" s="88">
        <f>'Finanzbericht 2008'!E68</f>
        <v>7702.8050000000003</v>
      </c>
      <c r="E68" s="41">
        <v>8063.0609999999997</v>
      </c>
      <c r="I68" s="97"/>
      <c r="J68" s="88">
        <f>'Finanzbericht 2008'!K68</f>
        <v>365.76990000000001</v>
      </c>
      <c r="K68" s="41">
        <f>472.60335-33.8797</f>
        <v>438.72364999999996</v>
      </c>
    </row>
    <row r="69" spans="1:11" ht="13.5" thickBot="1" x14ac:dyDescent="0.25">
      <c r="A69" s="13" t="s">
        <v>38</v>
      </c>
      <c r="B69" s="17"/>
      <c r="C69" s="17"/>
      <c r="D69" s="88">
        <f>'Finanzbericht 2008'!E69</f>
        <v>400</v>
      </c>
      <c r="E69" s="41">
        <v>200</v>
      </c>
      <c r="I69" s="97"/>
      <c r="J69" s="88"/>
      <c r="K69" s="41"/>
    </row>
    <row r="70" spans="1:11" x14ac:dyDescent="0.2">
      <c r="A70" s="84" t="s">
        <v>33</v>
      </c>
      <c r="B70" s="85"/>
      <c r="C70" s="85"/>
      <c r="D70" s="86">
        <f>SUM(D68:D69)</f>
        <v>8102.8050000000003</v>
      </c>
      <c r="E70" s="87">
        <f>SUM(E68:E69)</f>
        <v>8263.0609999999997</v>
      </c>
      <c r="I70" s="94" t="s">
        <v>16</v>
      </c>
      <c r="J70" s="95"/>
      <c r="K70" s="96"/>
    </row>
    <row r="71" spans="1:11" x14ac:dyDescent="0.2">
      <c r="A71" s="13" t="s">
        <v>42</v>
      </c>
      <c r="B71" s="17"/>
      <c r="C71" s="17"/>
      <c r="D71" s="88">
        <f>'Finanzbericht 2008'!E71</f>
        <v>14784.532149999999</v>
      </c>
      <c r="E71" s="41">
        <f>8111.82669+1241.34725</f>
        <v>9353.1739400000006</v>
      </c>
      <c r="I71" s="97"/>
      <c r="J71" s="88">
        <f>'Finanzbericht 2008'!K71</f>
        <v>-3436.1113500000001</v>
      </c>
      <c r="K71" s="41">
        <f>-3066356.31/1000</f>
        <v>-3066.3563100000001</v>
      </c>
    </row>
    <row r="72" spans="1:11" ht="13.5" thickBot="1" x14ac:dyDescent="0.25">
      <c r="A72" s="13" t="s">
        <v>37</v>
      </c>
      <c r="B72" s="17"/>
      <c r="C72" s="17"/>
      <c r="D72" s="88">
        <f>'Finanzbericht 2008'!E72</f>
        <v>0</v>
      </c>
      <c r="E72" s="41">
        <v>1420.8522599999999</v>
      </c>
      <c r="I72" s="98"/>
      <c r="J72" s="100"/>
      <c r="K72" s="99"/>
    </row>
    <row r="73" spans="1:11" x14ac:dyDescent="0.2">
      <c r="A73" s="13" t="s">
        <v>41</v>
      </c>
      <c r="B73" s="17"/>
      <c r="C73" s="17"/>
      <c r="D73" s="88">
        <f>'Finanzbericht 2008'!E73</f>
        <v>4913.7203099999997</v>
      </c>
      <c r="E73" s="88">
        <f>3472.19142+81.15351</f>
        <v>3553.3449300000002</v>
      </c>
      <c r="I73" s="94" t="s">
        <v>4</v>
      </c>
      <c r="J73" s="88"/>
      <c r="K73" s="96"/>
    </row>
    <row r="74" spans="1:11" s="56" customFormat="1" x14ac:dyDescent="0.2">
      <c r="A74" s="13" t="s">
        <v>40</v>
      </c>
      <c r="B74" s="17"/>
      <c r="C74" s="17"/>
      <c r="D74" s="88">
        <f>'Finanzbericht 2008'!E74</f>
        <v>6489.1703600000001</v>
      </c>
      <c r="E74" s="41">
        <f>4410120.1/1000+100</f>
        <v>4510.1200999999992</v>
      </c>
      <c r="I74" s="97"/>
      <c r="J74" s="88">
        <f>'Finanzbericht 2008'!K74</f>
        <v>-3765.39347</v>
      </c>
      <c r="K74" s="41">
        <f>-3478068.93/1000</f>
        <v>-3478.0689300000004</v>
      </c>
    </row>
    <row r="75" spans="1:11" ht="13.5" thickBot="1" x14ac:dyDescent="0.25">
      <c r="A75" s="84" t="s">
        <v>34</v>
      </c>
      <c r="B75" s="85"/>
      <c r="C75" s="85"/>
      <c r="D75" s="86">
        <f>SUM(D71:D74)</f>
        <v>26187.42282</v>
      </c>
      <c r="E75" s="87">
        <f>SUM(E71:E74)</f>
        <v>18837.49123</v>
      </c>
      <c r="I75" s="101"/>
      <c r="J75" s="100"/>
      <c r="K75" s="99"/>
    </row>
    <row r="76" spans="1:11" ht="16.5" thickBot="1" x14ac:dyDescent="0.3">
      <c r="A76" s="79" t="s">
        <v>35</v>
      </c>
      <c r="B76" s="80"/>
      <c r="C76" s="80"/>
      <c r="D76" s="89">
        <f>D75+D70+D67</f>
        <v>44892.340020000003</v>
      </c>
      <c r="E76" s="90">
        <f>E75+E70+E67</f>
        <v>34224.59550000001</v>
      </c>
      <c r="I76" s="12" t="s">
        <v>9</v>
      </c>
      <c r="J76" s="102"/>
      <c r="K76" s="33"/>
    </row>
    <row r="77" spans="1:11" ht="13.5" thickBot="1" x14ac:dyDescent="0.25">
      <c r="A77" s="8"/>
      <c r="B77" s="8"/>
      <c r="C77" s="8"/>
      <c r="D77" s="8"/>
      <c r="E77" s="91" t="str">
        <f>IF(E76=E66, "i.O.", "Fehler!")</f>
        <v>i.O.</v>
      </c>
      <c r="I77" s="13"/>
      <c r="J77" s="112">
        <f>'Finanzbericht 2008'!K77</f>
        <v>-3152.6706999999988</v>
      </c>
      <c r="K77" s="41">
        <f>F30</f>
        <v>-1906.0769900000009</v>
      </c>
    </row>
    <row r="78" spans="1:11" ht="13.5" thickBot="1" x14ac:dyDescent="0.25">
      <c r="I78" s="101"/>
      <c r="J78" s="103"/>
      <c r="K78" s="38"/>
    </row>
    <row r="82" spans="1:6" x14ac:dyDescent="0.2">
      <c r="A82" s="17"/>
      <c r="B82" s="17"/>
      <c r="C82" s="17"/>
      <c r="D82" s="30"/>
      <c r="E82" s="30"/>
      <c r="F82" s="4"/>
    </row>
    <row r="83" spans="1:6" x14ac:dyDescent="0.2">
      <c r="A83" s="17"/>
      <c r="B83" s="17"/>
      <c r="C83" s="17"/>
      <c r="D83" s="30"/>
      <c r="E83" s="30"/>
      <c r="F83" s="4"/>
    </row>
    <row r="84" spans="1:6" x14ac:dyDescent="0.2">
      <c r="A84" s="4"/>
      <c r="B84" s="4"/>
      <c r="C84" s="4"/>
      <c r="D84" s="4"/>
      <c r="E84" s="4"/>
      <c r="F84" s="4"/>
    </row>
    <row r="90" spans="1:6" x14ac:dyDescent="0.2">
      <c r="A90" s="64"/>
      <c r="B90" s="4"/>
      <c r="C90" s="4"/>
    </row>
    <row r="91" spans="1:6" x14ac:dyDescent="0.2">
      <c r="A91" s="4"/>
      <c r="B91" s="4"/>
      <c r="C91" s="4"/>
    </row>
    <row r="92" spans="1:6" x14ac:dyDescent="0.2">
      <c r="A92" s="4"/>
      <c r="B92" s="68"/>
      <c r="C92" s="68"/>
    </row>
    <row r="93" spans="1:6" x14ac:dyDescent="0.2">
      <c r="A93" s="4"/>
      <c r="B93" s="4"/>
      <c r="C93" s="4"/>
    </row>
    <row r="94" spans="1:6" x14ac:dyDescent="0.2">
      <c r="A94" s="69"/>
      <c r="B94" s="4"/>
      <c r="C94" s="4"/>
    </row>
    <row r="95" spans="1:6" x14ac:dyDescent="0.2">
      <c r="A95" s="4"/>
      <c r="B95" s="4"/>
      <c r="C95" s="4"/>
    </row>
    <row r="96" spans="1:6" x14ac:dyDescent="0.2">
      <c r="A96" s="4"/>
      <c r="B96" s="67"/>
      <c r="C96" s="67"/>
    </row>
    <row r="97" spans="1:3" x14ac:dyDescent="0.2">
      <c r="A97" s="4"/>
      <c r="B97" s="68"/>
      <c r="C97" s="68"/>
    </row>
    <row r="98" spans="1:3" x14ac:dyDescent="0.2">
      <c r="A98" s="4"/>
      <c r="B98" s="4"/>
      <c r="C98" s="4"/>
    </row>
    <row r="99" spans="1:3" x14ac:dyDescent="0.2">
      <c r="A99" s="4"/>
      <c r="B99" s="4"/>
      <c r="C99" s="4"/>
    </row>
    <row r="100" spans="1:3" x14ac:dyDescent="0.2">
      <c r="A100" s="4"/>
      <c r="B100" s="4"/>
      <c r="C100" s="4"/>
    </row>
    <row r="101" spans="1:3" x14ac:dyDescent="0.2">
      <c r="A101" s="4"/>
      <c r="B101" s="4"/>
      <c r="C101" s="4"/>
    </row>
    <row r="102" spans="1:3" x14ac:dyDescent="0.2">
      <c r="A102" s="4"/>
      <c r="B102" s="4"/>
      <c r="C102" s="4"/>
    </row>
    <row r="103" spans="1:3" x14ac:dyDescent="0.2">
      <c r="A103" s="4"/>
      <c r="B103" s="4"/>
      <c r="C103" s="4"/>
    </row>
    <row r="104" spans="1:3" x14ac:dyDescent="0.2">
      <c r="A104" s="4"/>
      <c r="B104" s="68"/>
      <c r="C104" s="68"/>
    </row>
    <row r="105" spans="1:3" x14ac:dyDescent="0.2">
      <c r="A105" s="4"/>
      <c r="B105" s="67"/>
      <c r="C105" s="67"/>
    </row>
    <row r="106" spans="1:3" x14ac:dyDescent="0.2">
      <c r="A106" s="4"/>
      <c r="B106" s="4"/>
      <c r="C106" s="4"/>
    </row>
    <row r="107" spans="1:3" x14ac:dyDescent="0.2">
      <c r="A107" s="4"/>
      <c r="B107" s="4"/>
      <c r="C107" s="4"/>
    </row>
    <row r="108" spans="1:3" x14ac:dyDescent="0.2">
      <c r="A108" s="64"/>
      <c r="B108" s="4"/>
      <c r="C108" s="4"/>
    </row>
    <row r="109" spans="1:3" x14ac:dyDescent="0.2">
      <c r="A109" s="4"/>
      <c r="B109" s="4"/>
      <c r="C109" s="4"/>
    </row>
    <row r="110" spans="1:3" x14ac:dyDescent="0.2">
      <c r="A110" s="4"/>
      <c r="B110" s="68"/>
      <c r="C110" s="68"/>
    </row>
    <row r="111" spans="1:3" x14ac:dyDescent="0.2">
      <c r="A111" s="4"/>
      <c r="B111" s="67"/>
      <c r="C111" s="67"/>
    </row>
    <row r="112" spans="1:3" x14ac:dyDescent="0.2">
      <c r="A112" s="4"/>
      <c r="B112" s="4"/>
      <c r="C112" s="4"/>
    </row>
    <row r="113" spans="1:3" x14ac:dyDescent="0.2">
      <c r="A113" s="4"/>
      <c r="B113" s="4"/>
      <c r="C113" s="4"/>
    </row>
    <row r="114" spans="1:3" x14ac:dyDescent="0.2">
      <c r="A114" s="64"/>
      <c r="B114" s="4"/>
      <c r="C114" s="4"/>
    </row>
    <row r="115" spans="1:3" x14ac:dyDescent="0.2">
      <c r="A115" s="4"/>
      <c r="B115" s="4"/>
      <c r="C115" s="4"/>
    </row>
    <row r="116" spans="1:3" x14ac:dyDescent="0.2">
      <c r="A116" s="4"/>
      <c r="B116" s="68"/>
      <c r="C116" s="68"/>
    </row>
    <row r="117" spans="1:3" x14ac:dyDescent="0.2">
      <c r="A117" s="4"/>
      <c r="B117" s="67"/>
      <c r="C117" s="67"/>
    </row>
    <row r="118" spans="1:3" x14ac:dyDescent="0.2">
      <c r="A118" s="4"/>
      <c r="B118" s="4"/>
      <c r="C118" s="4"/>
    </row>
    <row r="119" spans="1:3" x14ac:dyDescent="0.2">
      <c r="A119" s="4"/>
      <c r="B119" s="4"/>
      <c r="C119" s="4"/>
    </row>
    <row r="120" spans="1:3" x14ac:dyDescent="0.2">
      <c r="A120" s="64"/>
      <c r="B120" s="4"/>
      <c r="C120" s="4"/>
    </row>
    <row r="121" spans="1:3" x14ac:dyDescent="0.2">
      <c r="A121" s="4"/>
      <c r="B121" s="4"/>
      <c r="C121" s="4"/>
    </row>
    <row r="122" spans="1:3" x14ac:dyDescent="0.2">
      <c r="A122" s="65"/>
      <c r="B122" s="66"/>
      <c r="C122" s="65"/>
    </row>
    <row r="123" spans="1:3" x14ac:dyDescent="0.2">
      <c r="A123" s="65"/>
      <c r="B123" s="66"/>
      <c r="C123" s="65"/>
    </row>
    <row r="124" spans="1:3" x14ac:dyDescent="0.2">
      <c r="A124" s="65"/>
      <c r="B124" s="65"/>
      <c r="C124" s="65"/>
    </row>
    <row r="125" spans="1:3" x14ac:dyDescent="0.2">
      <c r="A125" s="4"/>
      <c r="B125" s="4"/>
      <c r="C125" s="4"/>
    </row>
    <row r="126" spans="1:3" x14ac:dyDescent="0.2">
      <c r="A126" s="4"/>
      <c r="B126" s="4"/>
      <c r="C126" s="4"/>
    </row>
    <row r="127" spans="1:3" x14ac:dyDescent="0.2">
      <c r="A127" s="70"/>
      <c r="B127" s="71"/>
      <c r="C127" s="4"/>
    </row>
  </sheetData>
  <mergeCells count="10">
    <mergeCell ref="I41:K41"/>
    <mergeCell ref="A50:C50"/>
    <mergeCell ref="D50:H50"/>
    <mergeCell ref="I59:K59"/>
    <mergeCell ref="I5:K5"/>
    <mergeCell ref="I7:K7"/>
    <mergeCell ref="I8:K8"/>
    <mergeCell ref="I14:K14"/>
    <mergeCell ref="I23:K23"/>
    <mergeCell ref="I32:K32"/>
  </mergeCells>
  <printOptions horizontalCentered="1" gridLinesSet="0"/>
  <pageMargins left="0.78740157480314965" right="0.59055118110236227" top="0.78740157480314965" bottom="0.78740157480314965" header="0.51181102362204722" footer="0.51181102362204722"/>
  <pageSetup paperSize="9" scale="71" orientation="portrait" horizontalDpi="300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Q127"/>
  <sheetViews>
    <sheetView showGridLines="0" topLeftCell="A25" zoomScale="110" zoomScaleNormal="110" workbookViewId="0">
      <selection activeCell="K77" sqref="K77"/>
    </sheetView>
  </sheetViews>
  <sheetFormatPr baseColWidth="10" defaultRowHeight="12.75" x14ac:dyDescent="0.2"/>
  <cols>
    <col min="1" max="1" width="11.7109375" style="2" customWidth="1"/>
    <col min="2" max="2" width="8.28515625" style="2" customWidth="1"/>
    <col min="3" max="3" width="11.85546875" style="2" customWidth="1"/>
    <col min="4" max="4" width="11.42578125" style="2"/>
    <col min="5" max="5" width="10.42578125" style="2" customWidth="1"/>
    <col min="6" max="6" width="9.42578125" style="2" customWidth="1"/>
    <col min="7" max="7" width="1.28515625" style="2" customWidth="1"/>
    <col min="8" max="8" width="3.42578125" style="2" customWidth="1"/>
    <col min="9" max="9" width="8.7109375" style="2" customWidth="1"/>
    <col min="10" max="10" width="10.5703125" style="2" customWidth="1"/>
    <col min="11" max="11" width="9.42578125" style="2" customWidth="1"/>
    <col min="12" max="16384" width="11.42578125" style="2"/>
  </cols>
  <sheetData>
    <row r="1" spans="1:17" ht="20.25" x14ac:dyDescent="0.3">
      <c r="A1" s="55" t="s">
        <v>58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pans="1:17" s="1" customFormat="1" x14ac:dyDescent="0.2">
      <c r="A2" s="6"/>
      <c r="B2" s="7"/>
      <c r="C2" s="7"/>
      <c r="D2" s="7"/>
      <c r="E2" s="7"/>
      <c r="F2" s="7"/>
      <c r="G2" s="7"/>
      <c r="H2" s="7"/>
      <c r="I2" s="7"/>
      <c r="J2" s="7"/>
      <c r="K2" s="7"/>
    </row>
    <row r="3" spans="1:17" s="1" customFormat="1" x14ac:dyDescent="0.2">
      <c r="A3" s="6"/>
      <c r="B3" s="7"/>
      <c r="C3" s="7"/>
      <c r="D3" s="7"/>
      <c r="E3" s="7"/>
      <c r="F3" s="7"/>
      <c r="G3" s="7"/>
      <c r="H3" s="7"/>
      <c r="I3" s="7"/>
      <c r="J3" s="7"/>
      <c r="K3" s="7"/>
      <c r="L3" s="76" t="str">
        <f>IF(C20=F20,"i.O.","Fehler!")</f>
        <v>i.O.</v>
      </c>
    </row>
    <row r="4" spans="1:17" ht="13.5" thickBot="1" x14ac:dyDescent="0.25">
      <c r="A4" s="8"/>
      <c r="B4" s="8"/>
      <c r="C4" s="8"/>
      <c r="D4" s="8"/>
      <c r="E4" s="8"/>
      <c r="F4" s="8"/>
      <c r="G4" s="8"/>
      <c r="H4" s="8"/>
      <c r="I4" s="8"/>
      <c r="J4" s="8"/>
      <c r="K4" s="8"/>
    </row>
    <row r="5" spans="1:17" ht="15.75" x14ac:dyDescent="0.25">
      <c r="A5" s="47" t="s">
        <v>1</v>
      </c>
      <c r="B5" s="48"/>
      <c r="C5" s="48"/>
      <c r="D5" s="48"/>
      <c r="E5" s="48"/>
      <c r="F5" s="49"/>
      <c r="G5" s="8"/>
      <c r="H5" s="8"/>
      <c r="I5" s="149" t="s">
        <v>15</v>
      </c>
      <c r="J5" s="150"/>
      <c r="K5" s="151"/>
      <c r="N5" s="4"/>
      <c r="O5" s="64"/>
      <c r="P5" s="4"/>
      <c r="Q5" s="4"/>
    </row>
    <row r="6" spans="1:17" ht="15.75" x14ac:dyDescent="0.25">
      <c r="A6" s="50"/>
      <c r="B6" s="19"/>
      <c r="C6" s="19"/>
      <c r="D6" s="19"/>
      <c r="E6" s="19"/>
      <c r="F6" s="20"/>
      <c r="G6" s="8"/>
      <c r="H6" s="8"/>
      <c r="I6" s="110" t="s">
        <v>51</v>
      </c>
      <c r="J6" s="17"/>
      <c r="K6" s="23"/>
      <c r="N6" s="4"/>
      <c r="O6" s="4"/>
      <c r="P6" s="4"/>
      <c r="Q6" s="4"/>
    </row>
    <row r="7" spans="1:17" ht="13.5" thickBot="1" x14ac:dyDescent="0.25">
      <c r="A7" s="51" t="s">
        <v>2</v>
      </c>
      <c r="B7" s="19" t="s">
        <v>14</v>
      </c>
      <c r="C7" s="19"/>
      <c r="D7" s="52" t="s">
        <v>3</v>
      </c>
      <c r="E7" s="19" t="s">
        <v>14</v>
      </c>
      <c r="F7" s="20"/>
      <c r="G7" s="8"/>
      <c r="H7" s="8"/>
      <c r="I7" s="155" t="s">
        <v>16</v>
      </c>
      <c r="J7" s="156"/>
      <c r="K7" s="157"/>
      <c r="N7" s="4"/>
      <c r="O7" s="65"/>
      <c r="P7" s="65"/>
      <c r="Q7" s="65"/>
    </row>
    <row r="8" spans="1:17" x14ac:dyDescent="0.2">
      <c r="A8" s="12" t="s">
        <v>25</v>
      </c>
      <c r="B8" s="11"/>
      <c r="C8" s="11">
        <f>-F40</f>
        <v>788.29786999999942</v>
      </c>
      <c r="D8" s="12" t="s">
        <v>26</v>
      </c>
      <c r="E8" s="11"/>
      <c r="F8" s="33">
        <f>F26</f>
        <v>-3765.39347</v>
      </c>
      <c r="G8" s="8"/>
      <c r="H8" s="8"/>
      <c r="I8" s="152" t="s">
        <v>53</v>
      </c>
      <c r="J8" s="153"/>
      <c r="K8" s="154"/>
      <c r="N8" s="4"/>
      <c r="O8" s="65"/>
      <c r="P8" s="66"/>
      <c r="Q8" s="65"/>
    </row>
    <row r="9" spans="1:17" x14ac:dyDescent="0.2">
      <c r="A9" s="13" t="str">
        <f>IF(F32&lt;0,"Zunahme Debitoren","")</f>
        <v/>
      </c>
      <c r="B9" s="17"/>
      <c r="C9" s="17" t="str">
        <f>IF(F32&lt;0,-F32,"")</f>
        <v/>
      </c>
      <c r="D9" s="13" t="s">
        <v>5</v>
      </c>
      <c r="E9" s="17"/>
      <c r="F9" s="23">
        <f>F27</f>
        <v>1258.5207700000001</v>
      </c>
      <c r="G9" s="8"/>
      <c r="H9" s="8"/>
      <c r="I9" s="13"/>
      <c r="J9" s="17"/>
      <c r="K9" s="23"/>
      <c r="N9" s="4"/>
      <c r="O9" s="65"/>
      <c r="P9" s="65"/>
      <c r="Q9" s="65"/>
    </row>
    <row r="10" spans="1:17" x14ac:dyDescent="0.2">
      <c r="A10" s="13" t="str">
        <f>IF(F33&lt;0,"Zunahme Bestände","")</f>
        <v>Zunahme Bestände</v>
      </c>
      <c r="B10" s="17"/>
      <c r="C10" s="17">
        <f>IF(F33&lt;0,-F33,"")</f>
        <v>5205.7037900000005</v>
      </c>
      <c r="D10" s="34" t="s">
        <v>52</v>
      </c>
      <c r="E10" s="9"/>
      <c r="F10" s="35">
        <f>F28</f>
        <v>-645.79799999999886</v>
      </c>
      <c r="G10" s="8"/>
      <c r="H10" s="8"/>
      <c r="I10" s="107" t="str">
        <f>I19</f>
        <v>Vorjahr</v>
      </c>
      <c r="J10" s="17"/>
      <c r="K10" s="108">
        <f>K19</f>
        <v>2008</v>
      </c>
      <c r="N10" s="4"/>
      <c r="O10" s="4"/>
      <c r="P10" s="4"/>
      <c r="Q10" s="4"/>
    </row>
    <row r="11" spans="1:17" ht="13.5" thickBot="1" x14ac:dyDescent="0.25">
      <c r="A11" s="13" t="str">
        <f>IF(F34&lt;0,"Abnahme Anzahlungen","")</f>
        <v/>
      </c>
      <c r="B11" s="17"/>
      <c r="C11" s="23" t="str">
        <f>IF(F34&lt;0,-F34,"")</f>
        <v/>
      </c>
      <c r="D11" s="57" t="s">
        <v>6</v>
      </c>
      <c r="E11" s="58"/>
      <c r="F11" s="23">
        <f>SUM(F8:F10)</f>
        <v>-3152.6706999999988</v>
      </c>
      <c r="G11" s="8"/>
      <c r="H11" s="8"/>
      <c r="I11" s="104">
        <f>J71/D76</f>
        <v>1.6598014105040131E-2</v>
      </c>
      <c r="J11" s="36"/>
      <c r="K11" s="60">
        <f>K71/((E76))</f>
        <v>-7.6541150416066017E-2</v>
      </c>
      <c r="N11" s="4"/>
      <c r="O11" s="65"/>
      <c r="P11" s="65"/>
      <c r="Q11" s="65"/>
    </row>
    <row r="12" spans="1:17" x14ac:dyDescent="0.2">
      <c r="A12" s="13" t="str">
        <f>IF(F35&lt;0,"Abn. Rückstellungen","")</f>
        <v>Abn. Rückstellungen</v>
      </c>
      <c r="B12" s="17"/>
      <c r="C12" s="23">
        <f>IF(F35&lt;0,-F35,"")</f>
        <v>2924.0524000000005</v>
      </c>
      <c r="D12" s="13" t="str">
        <f>IF(F32&gt;0,"Abnahme Debitoren","")</f>
        <v>Abnahme Debitoren</v>
      </c>
      <c r="E12" s="17"/>
      <c r="F12" s="23">
        <f>IF(F32&gt;0,F32,"")</f>
        <v>18055.46113</v>
      </c>
      <c r="G12" s="8"/>
      <c r="H12" s="8"/>
      <c r="I12" s="111" t="s">
        <v>57</v>
      </c>
      <c r="J12" s="8"/>
      <c r="K12" s="8"/>
      <c r="N12" s="4"/>
      <c r="O12" s="65"/>
      <c r="P12" s="65"/>
      <c r="Q12" s="65"/>
    </row>
    <row r="13" spans="1:17" ht="13.5" thickBot="1" x14ac:dyDescent="0.25">
      <c r="A13" s="13" t="str">
        <f>IF(F36&lt;0,"Abnahme Kreditoren","")</f>
        <v>Abnahme Kreditoren</v>
      </c>
      <c r="B13" s="17"/>
      <c r="C13" s="23">
        <f>IF(F36&lt;0,-F36,"")</f>
        <v>1028.3759</v>
      </c>
      <c r="D13" s="13" t="str">
        <f>IF(F33&gt;0,"Bestandsabbau","")</f>
        <v/>
      </c>
      <c r="E13" s="17"/>
      <c r="F13" s="23" t="str">
        <f>IF(F33&gt;0,F33,"")</f>
        <v/>
      </c>
      <c r="G13" s="8"/>
      <c r="H13" s="8"/>
      <c r="I13" s="8"/>
      <c r="J13" s="8"/>
      <c r="K13" s="8"/>
      <c r="N13" s="4"/>
      <c r="O13" s="4"/>
      <c r="P13" s="4"/>
      <c r="Q13" s="4"/>
    </row>
    <row r="14" spans="1:17" x14ac:dyDescent="0.2">
      <c r="A14" s="13" t="str">
        <f>IF(F47&gt;0,"Aufbau FlüMi","")</f>
        <v>Aufbau FlüMi</v>
      </c>
      <c r="B14" s="17"/>
      <c r="C14" s="23">
        <f>IF(F47&gt;0,F47,"")</f>
        <v>1319.6540700000023</v>
      </c>
      <c r="D14" s="13" t="str">
        <f>IF(F34&gt;0,"Zunahme Anzahlungen","")</f>
        <v/>
      </c>
      <c r="E14" s="17"/>
      <c r="F14" s="23" t="str">
        <f>IF(F34&gt;0,F34,"")</f>
        <v/>
      </c>
      <c r="G14" s="8"/>
      <c r="H14" s="8"/>
      <c r="I14" s="149" t="s">
        <v>46</v>
      </c>
      <c r="J14" s="150"/>
      <c r="K14" s="151"/>
      <c r="N14" s="4"/>
      <c r="O14" s="67"/>
      <c r="P14" s="67"/>
      <c r="Q14" s="67"/>
    </row>
    <row r="15" spans="1:17" x14ac:dyDescent="0.2">
      <c r="A15" s="13" t="str">
        <f>IF(F43&lt;0,"Abn. lafri Schulden","")</f>
        <v/>
      </c>
      <c r="B15" s="17"/>
      <c r="C15" s="23" t="str">
        <f>IF(F43&lt;0,-F43,"")</f>
        <v/>
      </c>
      <c r="D15" s="13" t="str">
        <f>IF(F35&gt;0,"Zunahme Rückstellungen","")</f>
        <v/>
      </c>
      <c r="E15" s="17"/>
      <c r="F15" s="23" t="str">
        <f>IF(F35&gt;0,F35,"")</f>
        <v/>
      </c>
      <c r="G15" s="8"/>
      <c r="H15" s="8"/>
      <c r="I15" s="13"/>
      <c r="J15" s="17"/>
      <c r="K15" s="23"/>
      <c r="N15" s="4"/>
      <c r="O15" s="67"/>
      <c r="P15" s="67"/>
      <c r="Q15" s="67"/>
    </row>
    <row r="16" spans="1:17" x14ac:dyDescent="0.2">
      <c r="A16" s="13" t="str">
        <f>IF(F44&lt;0,"Abn. kufri Schulden","")</f>
        <v>Abn. kufri Schulden</v>
      </c>
      <c r="B16" s="17"/>
      <c r="C16" s="23">
        <f>IF(F44&lt;0,-F44,"")</f>
        <v>4036.7063999999991</v>
      </c>
      <c r="D16" s="13" t="str">
        <f>IF(F36&gt;0,"Zunahme Kreditoren","")</f>
        <v/>
      </c>
      <c r="E16" s="17"/>
      <c r="F16" s="23" t="str">
        <f>IF(F36&gt;0,F36,"")</f>
        <v/>
      </c>
      <c r="G16" s="8"/>
      <c r="H16" s="8"/>
      <c r="I16" s="13"/>
      <c r="J16" s="37" t="s">
        <v>9</v>
      </c>
      <c r="K16" s="23"/>
    </row>
    <row r="17" spans="1:14" x14ac:dyDescent="0.2">
      <c r="A17" s="13"/>
      <c r="B17" s="17"/>
      <c r="C17" s="17"/>
      <c r="D17" s="13" t="str">
        <f>IF(F47&lt;0,"Abbau FlüMi","")</f>
        <v/>
      </c>
      <c r="E17" s="17"/>
      <c r="F17" s="23" t="str">
        <f>IF(F47&lt;0,-F47,"")</f>
        <v/>
      </c>
      <c r="G17" s="8"/>
      <c r="H17" s="8"/>
      <c r="I17" s="13"/>
      <c r="J17" s="30" t="s">
        <v>0</v>
      </c>
      <c r="K17" s="23"/>
    </row>
    <row r="18" spans="1:14" x14ac:dyDescent="0.2">
      <c r="A18" s="13"/>
      <c r="B18" s="17"/>
      <c r="C18" s="17"/>
      <c r="D18" s="13" t="str">
        <f>IF(F43&gt;0,"Zunahme lafri Schulden","")</f>
        <v>Zunahme lafri Schulden</v>
      </c>
      <c r="E18" s="17"/>
      <c r="F18" s="23">
        <f>IF(F43&gt;0,F43,"")</f>
        <v>400</v>
      </c>
      <c r="G18" s="8"/>
      <c r="H18" s="8"/>
      <c r="I18" s="13"/>
      <c r="J18" s="17"/>
      <c r="K18" s="23"/>
    </row>
    <row r="19" spans="1:14" ht="13.5" thickBot="1" x14ac:dyDescent="0.25">
      <c r="A19" s="13"/>
      <c r="B19" s="17"/>
      <c r="C19" s="59"/>
      <c r="D19" s="13" t="str">
        <f>IF(F44&gt;0,"Zunahme kufri Schulden","")</f>
        <v/>
      </c>
      <c r="E19" s="17"/>
      <c r="F19" s="59" t="str">
        <f>IF(F44&gt;0,F44,"")</f>
        <v/>
      </c>
      <c r="G19" s="8"/>
      <c r="H19" s="8"/>
      <c r="I19" s="107" t="str">
        <f>I37</f>
        <v>Vorjahr</v>
      </c>
      <c r="J19" s="17"/>
      <c r="K19" s="108">
        <f>K37</f>
        <v>2008</v>
      </c>
    </row>
    <row r="20" spans="1:14" ht="14.25" thickTop="1" thickBot="1" x14ac:dyDescent="0.25">
      <c r="A20" s="73"/>
      <c r="B20" s="74"/>
      <c r="C20" s="74">
        <f>SUM(C8:C19)</f>
        <v>15302.790430000003</v>
      </c>
      <c r="D20" s="73"/>
      <c r="E20" s="74"/>
      <c r="F20" s="75">
        <f>SUM(F11:F19)</f>
        <v>15302.790430000001</v>
      </c>
      <c r="G20" s="8"/>
      <c r="H20" s="8"/>
      <c r="I20" s="104">
        <f>J77/J62</f>
        <v>2.580528932923376E-2</v>
      </c>
      <c r="J20" s="36"/>
      <c r="K20" s="105">
        <f>F30/K62</f>
        <v>-3.5577894935104257E-2</v>
      </c>
    </row>
    <row r="21" spans="1:14" x14ac:dyDescent="0.2">
      <c r="B21" s="8"/>
      <c r="C21" s="8"/>
      <c r="D21" s="8"/>
      <c r="E21" s="8"/>
      <c r="F21" s="8"/>
      <c r="G21" s="8"/>
      <c r="H21" s="8"/>
      <c r="I21" s="8"/>
      <c r="J21" s="8"/>
      <c r="K21" s="8"/>
    </row>
    <row r="22" spans="1:14" ht="13.5" thickBot="1" x14ac:dyDescent="0.25">
      <c r="B22" s="8"/>
      <c r="C22" s="8"/>
      <c r="D22" s="8"/>
      <c r="E22" s="8"/>
      <c r="F22" s="8"/>
      <c r="G22" s="8"/>
      <c r="H22" s="8"/>
      <c r="I22" s="8"/>
      <c r="J22" s="8"/>
      <c r="K22" s="8"/>
    </row>
    <row r="23" spans="1:14" ht="16.5" thickBot="1" x14ac:dyDescent="0.3">
      <c r="A23" s="53" t="s">
        <v>24</v>
      </c>
      <c r="B23" s="3"/>
      <c r="C23" s="3"/>
      <c r="D23" s="3"/>
      <c r="E23" s="3"/>
      <c r="F23" s="54"/>
      <c r="G23" s="8"/>
      <c r="H23" s="8"/>
      <c r="I23" s="149" t="s">
        <v>45</v>
      </c>
      <c r="J23" s="150"/>
      <c r="K23" s="151"/>
    </row>
    <row r="24" spans="1:14" ht="13.5" thickBot="1" x14ac:dyDescent="0.25">
      <c r="A24" s="15"/>
      <c r="B24" s="16"/>
      <c r="C24" s="16"/>
      <c r="D24" s="16"/>
      <c r="E24" s="16"/>
      <c r="F24" s="78">
        <f>E60</f>
        <v>2008</v>
      </c>
      <c r="G24" s="8"/>
      <c r="H24" s="8"/>
      <c r="I24" s="13"/>
      <c r="J24" s="17"/>
      <c r="K24" s="23"/>
    </row>
    <row r="25" spans="1:14" x14ac:dyDescent="0.2">
      <c r="A25" s="13"/>
      <c r="B25" s="17"/>
      <c r="C25" s="17"/>
      <c r="D25" s="17"/>
      <c r="E25" s="17"/>
      <c r="F25" s="18"/>
      <c r="G25" s="8"/>
      <c r="H25" s="8"/>
      <c r="I25" s="13"/>
      <c r="J25" s="21" t="s">
        <v>16</v>
      </c>
      <c r="K25" s="23"/>
      <c r="M25" s="62"/>
    </row>
    <row r="26" spans="1:14" x14ac:dyDescent="0.2">
      <c r="A26" s="13" t="s">
        <v>26</v>
      </c>
      <c r="B26" s="17"/>
      <c r="C26" s="17"/>
      <c r="D26" s="17"/>
      <c r="E26" s="17"/>
      <c r="F26" s="22">
        <f>$K74</f>
        <v>-3765.39347</v>
      </c>
      <c r="G26" s="8"/>
      <c r="H26" s="8"/>
      <c r="I26" s="13"/>
      <c r="J26" s="30" t="s">
        <v>11</v>
      </c>
      <c r="K26" s="23"/>
    </row>
    <row r="27" spans="1:14" x14ac:dyDescent="0.2">
      <c r="A27" s="13" t="s">
        <v>5</v>
      </c>
      <c r="B27" s="17"/>
      <c r="C27" s="17"/>
      <c r="D27" s="17"/>
      <c r="E27" s="17"/>
      <c r="F27" s="22">
        <f>$K65</f>
        <v>1258.5207700000001</v>
      </c>
      <c r="G27" s="8"/>
      <c r="H27" s="8"/>
      <c r="I27" s="13"/>
      <c r="J27" s="17"/>
      <c r="K27" s="23"/>
    </row>
    <row r="28" spans="1:14" x14ac:dyDescent="0.2">
      <c r="A28" s="13" t="s">
        <v>44</v>
      </c>
      <c r="B28" s="17"/>
      <c r="C28" s="17"/>
      <c r="D28" s="17"/>
      <c r="E28" s="17"/>
      <c r="F28" s="22">
        <f>$E68-$D68</f>
        <v>-645.79799999999886</v>
      </c>
      <c r="G28" s="8"/>
      <c r="H28" s="8"/>
      <c r="I28" s="107" t="str">
        <f>I37</f>
        <v>Vorjahr</v>
      </c>
      <c r="J28" s="17"/>
      <c r="K28" s="108">
        <f>K46</f>
        <v>2008</v>
      </c>
    </row>
    <row r="29" spans="1:14" ht="13.5" thickBot="1" x14ac:dyDescent="0.25">
      <c r="A29" s="13"/>
      <c r="B29" s="17"/>
      <c r="C29" s="17"/>
      <c r="D29" s="17"/>
      <c r="E29" s="17"/>
      <c r="F29" s="22"/>
      <c r="G29" s="8"/>
      <c r="H29" s="8"/>
      <c r="I29" s="77">
        <f>J71/J68</f>
        <v>4.5888748937730917</v>
      </c>
      <c r="J29" s="36"/>
      <c r="K29" s="63">
        <f>K71/K68</f>
        <v>-9.3941883954912644</v>
      </c>
    </row>
    <row r="30" spans="1:14" x14ac:dyDescent="0.2">
      <c r="A30" s="24" t="s">
        <v>6</v>
      </c>
      <c r="B30" s="14"/>
      <c r="C30" s="14"/>
      <c r="D30" s="14"/>
      <c r="E30" s="14"/>
      <c r="F30" s="25">
        <f>SUM(F26:F28)</f>
        <v>-3152.6706999999988</v>
      </c>
      <c r="G30" s="8"/>
      <c r="H30" s="8"/>
      <c r="I30" s="8"/>
      <c r="J30" s="8"/>
      <c r="K30" s="8"/>
    </row>
    <row r="31" spans="1:14" ht="13.5" thickBot="1" x14ac:dyDescent="0.25">
      <c r="A31" s="13"/>
      <c r="B31" s="17"/>
      <c r="C31" s="17"/>
      <c r="D31" s="17"/>
      <c r="E31" s="17"/>
      <c r="F31" s="22"/>
      <c r="G31" s="8"/>
      <c r="H31" s="8"/>
      <c r="I31" s="8"/>
      <c r="J31" s="8"/>
      <c r="K31" s="8"/>
    </row>
    <row r="32" spans="1:14" x14ac:dyDescent="0.2">
      <c r="A32" s="26" t="str">
        <f>IF(D63-E63&lt;0,"- zunehmende Debitoren","+ abnehmende Debitoren")</f>
        <v>+ abnehmende Debitoren</v>
      </c>
      <c r="B32" s="17"/>
      <c r="C32" s="17"/>
      <c r="D32" s="17"/>
      <c r="E32" s="17"/>
      <c r="F32" s="22">
        <f>$D63-$E63</f>
        <v>18055.46113</v>
      </c>
      <c r="G32" s="8"/>
      <c r="H32" s="8"/>
      <c r="I32" s="149" t="s">
        <v>17</v>
      </c>
      <c r="J32" s="150"/>
      <c r="K32" s="151"/>
      <c r="L32"/>
      <c r="M32"/>
      <c r="N32"/>
    </row>
    <row r="33" spans="1:14" x14ac:dyDescent="0.2">
      <c r="A33" s="26" t="str">
        <f>IF(D64-E64&lt;0,"- zunehmende Bestände","+ abnehmende Bestände")</f>
        <v>- zunehmende Bestände</v>
      </c>
      <c r="B33" s="17"/>
      <c r="C33" s="17"/>
      <c r="D33" s="17"/>
      <c r="E33" s="17"/>
      <c r="F33" s="22">
        <f>$D64-$E64</f>
        <v>-5205.7037900000005</v>
      </c>
      <c r="G33" s="8"/>
      <c r="H33" s="8"/>
      <c r="I33" s="13"/>
      <c r="J33" s="17"/>
      <c r="K33" s="23"/>
      <c r="L33"/>
      <c r="M33"/>
      <c r="N33"/>
    </row>
    <row r="34" spans="1:14" x14ac:dyDescent="0.2">
      <c r="A34" s="26" t="str">
        <f>IF(E72-D72&gt;0,"+ zunehmende Anzahlungen","- abnehmende Anzahlungen")</f>
        <v>- abnehmende Anzahlungen</v>
      </c>
      <c r="B34" s="17"/>
      <c r="C34" s="17"/>
      <c r="D34" s="17"/>
      <c r="E34" s="17"/>
      <c r="F34" s="22">
        <f>$E72-$D72</f>
        <v>0</v>
      </c>
      <c r="G34" s="8"/>
      <c r="H34" s="8"/>
      <c r="I34" s="13"/>
      <c r="J34" s="10" t="s">
        <v>16</v>
      </c>
      <c r="K34" s="23"/>
    </row>
    <row r="35" spans="1:14" x14ac:dyDescent="0.2">
      <c r="A35" s="26" t="str">
        <f>IF(E71-D71&lt;0,"- abnehmende Rückstellungen","+ zunehmende Rückstellungen")</f>
        <v>- abnehmende Rückstellungen</v>
      </c>
      <c r="B35" s="17"/>
      <c r="C35" s="17"/>
      <c r="D35" s="17"/>
      <c r="E35" s="17"/>
      <c r="F35" s="22">
        <f>$E71-$D71</f>
        <v>-2924.0524000000005</v>
      </c>
      <c r="G35" s="8"/>
      <c r="H35" s="8"/>
      <c r="I35" s="13"/>
      <c r="J35" s="30" t="s">
        <v>0</v>
      </c>
      <c r="K35" s="23"/>
    </row>
    <row r="36" spans="1:14" x14ac:dyDescent="0.2">
      <c r="A36" s="26" t="str">
        <f>IF(E73-D73&gt;0,"+ zunehmende Kreditoren","- abnehmende Kreditoren")</f>
        <v>- abnehmende Kreditoren</v>
      </c>
      <c r="B36" s="17"/>
      <c r="C36" s="17"/>
      <c r="D36" s="17"/>
      <c r="E36" s="17"/>
      <c r="F36" s="22">
        <f>$E73-$D73</f>
        <v>-1028.3759</v>
      </c>
      <c r="G36" s="8"/>
      <c r="H36" s="8"/>
      <c r="I36" s="13"/>
      <c r="J36" s="17"/>
      <c r="K36" s="23"/>
    </row>
    <row r="37" spans="1:14" x14ac:dyDescent="0.2">
      <c r="A37" s="14" t="s">
        <v>55</v>
      </c>
      <c r="B37" s="14"/>
      <c r="C37" s="14"/>
      <c r="D37" s="14"/>
      <c r="E37" s="14"/>
      <c r="F37" s="25">
        <f>SUM(F32:F36)</f>
        <v>8897.3290400000005</v>
      </c>
      <c r="G37" s="8"/>
      <c r="H37" s="8"/>
      <c r="I37" s="107" t="str">
        <f>D60</f>
        <v>Vorjahr</v>
      </c>
      <c r="J37" s="17"/>
      <c r="K37" s="108">
        <f>E60</f>
        <v>2008</v>
      </c>
    </row>
    <row r="38" spans="1:14" ht="13.5" thickBot="1" x14ac:dyDescent="0.25">
      <c r="A38" s="24" t="s">
        <v>7</v>
      </c>
      <c r="B38" s="14"/>
      <c r="C38" s="14"/>
      <c r="D38" s="14"/>
      <c r="E38" s="14"/>
      <c r="F38" s="25">
        <f>SUM(F30:F36)</f>
        <v>5744.6583400000009</v>
      </c>
      <c r="G38" s="8"/>
      <c r="H38" s="8"/>
      <c r="I38" s="104">
        <f>J71/J62</f>
        <v>9.7419053856630348E-3</v>
      </c>
      <c r="J38" s="36"/>
      <c r="K38" s="105">
        <f>K71/K62</f>
        <v>-3.8776523217480117E-2</v>
      </c>
    </row>
    <row r="39" spans="1:14" x14ac:dyDescent="0.2">
      <c r="A39" s="13"/>
      <c r="B39" s="17"/>
      <c r="C39" s="17"/>
      <c r="D39" s="17"/>
      <c r="E39" s="17"/>
      <c r="F39" s="22"/>
      <c r="G39" s="8"/>
      <c r="H39" s="8"/>
      <c r="I39" s="8"/>
      <c r="J39" s="8"/>
      <c r="K39" s="8"/>
    </row>
    <row r="40" spans="1:14" ht="13.5" thickBot="1" x14ac:dyDescent="0.25">
      <c r="A40" s="13" t="s">
        <v>54</v>
      </c>
      <c r="B40" s="17"/>
      <c r="C40" s="17"/>
      <c r="D40" s="17"/>
      <c r="E40" s="17"/>
      <c r="F40" s="22">
        <f>-$E61+$D61-$K65</f>
        <v>-788.29786999999942</v>
      </c>
      <c r="G40" s="8"/>
      <c r="H40" s="8"/>
      <c r="I40" s="8"/>
      <c r="J40" s="8"/>
      <c r="K40" s="8"/>
    </row>
    <row r="41" spans="1:14" x14ac:dyDescent="0.2">
      <c r="A41" s="24" t="s">
        <v>8</v>
      </c>
      <c r="B41" s="14"/>
      <c r="C41" s="14"/>
      <c r="D41" s="14"/>
      <c r="E41" s="14"/>
      <c r="F41" s="25">
        <f>F38+F40</f>
        <v>4956.3604700000014</v>
      </c>
      <c r="G41" s="8"/>
      <c r="H41" s="8"/>
      <c r="I41" s="160" t="s">
        <v>47</v>
      </c>
      <c r="J41" s="161"/>
      <c r="K41" s="162"/>
    </row>
    <row r="42" spans="1:14" x14ac:dyDescent="0.2">
      <c r="A42" s="26"/>
      <c r="B42" s="17"/>
      <c r="C42" s="17"/>
      <c r="D42" s="17"/>
      <c r="E42" s="17"/>
      <c r="F42" s="22"/>
      <c r="G42" s="8"/>
      <c r="H42" s="8"/>
      <c r="I42" s="13"/>
      <c r="J42" s="17"/>
      <c r="K42" s="23"/>
    </row>
    <row r="43" spans="1:14" x14ac:dyDescent="0.2">
      <c r="A43" s="13" t="str">
        <f>IF(E68-D68&gt;0,"+ zunehmende Schulden (lafri)","- abnehmende Schulden (lafri)")</f>
        <v>- abnehmende Schulden (lafri)</v>
      </c>
      <c r="B43" s="17"/>
      <c r="C43" s="17"/>
      <c r="D43" s="17"/>
      <c r="E43" s="17"/>
      <c r="F43" s="22">
        <f>$E69-$D69</f>
        <v>400</v>
      </c>
      <c r="G43" s="8"/>
      <c r="H43" s="8"/>
      <c r="I43" s="13"/>
      <c r="J43" s="10" t="s">
        <v>13</v>
      </c>
      <c r="K43" s="23"/>
    </row>
    <row r="44" spans="1:14" x14ac:dyDescent="0.2">
      <c r="A44" s="26" t="str">
        <f>IF(E73-D73&gt;0,"+ zunehmende Schulden (kufri)","- abnehmende Schulden (kufri)")</f>
        <v>- abnehmende Schulden (kufri)</v>
      </c>
      <c r="B44" s="26"/>
      <c r="C44" s="17"/>
      <c r="D44" s="17"/>
      <c r="E44" s="17"/>
      <c r="F44" s="22">
        <f>$E74-$D74</f>
        <v>-4036.7063999999991</v>
      </c>
      <c r="G44" s="8"/>
      <c r="H44" s="8"/>
      <c r="I44" s="13"/>
      <c r="J44" s="30" t="s">
        <v>18</v>
      </c>
      <c r="K44" s="23"/>
    </row>
    <row r="45" spans="1:14" x14ac:dyDescent="0.2">
      <c r="A45" s="26"/>
      <c r="B45" s="17"/>
      <c r="C45" s="17"/>
      <c r="D45" s="17"/>
      <c r="E45" s="17"/>
      <c r="F45" s="22"/>
      <c r="G45" s="8"/>
      <c r="H45" s="8"/>
      <c r="I45" s="13"/>
      <c r="J45" s="17"/>
      <c r="K45" s="23"/>
    </row>
    <row r="46" spans="1:14" x14ac:dyDescent="0.2">
      <c r="A46" s="14" t="s">
        <v>56</v>
      </c>
      <c r="B46" s="14"/>
      <c r="C46" s="14"/>
      <c r="D46" s="14"/>
      <c r="E46" s="14"/>
      <c r="F46" s="25">
        <f>SUM(F43:F45)</f>
        <v>-3636.7063999999991</v>
      </c>
      <c r="G46" s="8"/>
      <c r="H46" s="8"/>
      <c r="I46" s="107" t="str">
        <f>D60</f>
        <v>Vorjahr</v>
      </c>
      <c r="J46" s="17"/>
      <c r="K46" s="108">
        <f>E60</f>
        <v>2008</v>
      </c>
    </row>
    <row r="47" spans="1:14" ht="13.5" thickBot="1" x14ac:dyDescent="0.25">
      <c r="A47" s="27" t="s">
        <v>10</v>
      </c>
      <c r="B47" s="28"/>
      <c r="C47" s="28"/>
      <c r="D47" s="28"/>
      <c r="E47" s="28"/>
      <c r="F47" s="29">
        <f>SUM(F41:F45)</f>
        <v>1319.6540700000023</v>
      </c>
      <c r="G47" s="8"/>
      <c r="H47" s="8"/>
      <c r="I47" s="104">
        <f>D67/D76</f>
        <v>0.26544822827065584</v>
      </c>
      <c r="J47" s="36"/>
      <c r="K47" s="105">
        <f>E67/E76</f>
        <v>0.23616751087772767</v>
      </c>
    </row>
    <row r="48" spans="1:14" x14ac:dyDescent="0.2">
      <c r="A48" s="17"/>
      <c r="B48" s="17"/>
      <c r="C48" s="17"/>
      <c r="D48" s="17"/>
      <c r="E48" s="17"/>
      <c r="F48" s="17"/>
      <c r="G48" s="8"/>
      <c r="H48" s="8"/>
      <c r="I48" s="8"/>
      <c r="J48" s="8"/>
      <c r="K48" s="8"/>
    </row>
    <row r="49" spans="1:13" ht="13.5" thickBot="1" x14ac:dyDescent="0.25">
      <c r="A49" s="17"/>
      <c r="B49" s="17"/>
      <c r="C49" s="17"/>
      <c r="D49" s="17"/>
      <c r="E49" s="17"/>
      <c r="F49" s="17"/>
      <c r="G49" s="8"/>
      <c r="H49" s="8"/>
      <c r="I49" s="8"/>
      <c r="J49" s="8"/>
      <c r="K49" s="8"/>
    </row>
    <row r="50" spans="1:13" x14ac:dyDescent="0.2">
      <c r="A50" s="149" t="s">
        <v>48</v>
      </c>
      <c r="B50" s="150"/>
      <c r="C50" s="151"/>
      <c r="D50" s="149" t="s">
        <v>49</v>
      </c>
      <c r="E50" s="158"/>
      <c r="F50" s="158"/>
      <c r="G50" s="158"/>
      <c r="H50" s="159"/>
      <c r="I50" s="39"/>
      <c r="J50" s="45" t="s">
        <v>50</v>
      </c>
      <c r="K50" s="33"/>
    </row>
    <row r="51" spans="1:13" x14ac:dyDescent="0.2">
      <c r="A51" s="13"/>
      <c r="B51" s="17"/>
      <c r="C51" s="23"/>
      <c r="D51" s="13"/>
      <c r="E51" s="17"/>
      <c r="F51" s="17"/>
      <c r="G51" s="17"/>
      <c r="H51" s="23"/>
      <c r="I51" s="42"/>
      <c r="J51" s="17"/>
      <c r="K51" s="23"/>
    </row>
    <row r="52" spans="1:13" x14ac:dyDescent="0.2">
      <c r="A52" s="40"/>
      <c r="B52" s="31" t="s">
        <v>23</v>
      </c>
      <c r="C52" s="44"/>
      <c r="D52" s="46"/>
      <c r="E52" s="31" t="s">
        <v>21</v>
      </c>
      <c r="F52" s="32"/>
      <c r="G52" s="17"/>
      <c r="H52" s="23"/>
      <c r="I52" s="34" t="s">
        <v>19</v>
      </c>
      <c r="J52" s="9"/>
      <c r="K52" s="35"/>
    </row>
    <row r="53" spans="1:13" x14ac:dyDescent="0.2">
      <c r="A53" s="13"/>
      <c r="B53" s="30" t="s">
        <v>9</v>
      </c>
      <c r="C53" s="23"/>
      <c r="D53" s="13"/>
      <c r="E53" s="30" t="s">
        <v>22</v>
      </c>
      <c r="F53" s="17"/>
      <c r="G53" s="17"/>
      <c r="H53" s="23"/>
      <c r="I53" s="13"/>
      <c r="J53" s="43" t="s">
        <v>20</v>
      </c>
      <c r="K53" s="23"/>
    </row>
    <row r="54" spans="1:13" x14ac:dyDescent="0.2">
      <c r="A54" s="13"/>
      <c r="B54" s="17"/>
      <c r="C54" s="23"/>
      <c r="D54" s="13"/>
      <c r="E54" s="17"/>
      <c r="F54" s="17"/>
      <c r="G54" s="17"/>
      <c r="H54" s="23"/>
      <c r="I54" s="42"/>
      <c r="J54" s="17"/>
      <c r="K54" s="23"/>
    </row>
    <row r="55" spans="1:13" x14ac:dyDescent="0.2">
      <c r="A55" s="107" t="str">
        <f>D60</f>
        <v>Vorjahr</v>
      </c>
      <c r="B55" s="17"/>
      <c r="C55" s="108">
        <f>E60</f>
        <v>2008</v>
      </c>
      <c r="D55" s="107" t="str">
        <f>D60</f>
        <v>Vorjahr</v>
      </c>
      <c r="E55" s="17"/>
      <c r="F55" s="109">
        <f>E60</f>
        <v>2008</v>
      </c>
      <c r="G55" s="17"/>
      <c r="H55" s="23"/>
      <c r="I55" s="107" t="str">
        <f>D60</f>
        <v>Vorjahr</v>
      </c>
      <c r="J55" s="17"/>
      <c r="K55" s="108">
        <f>E60</f>
        <v>2008</v>
      </c>
    </row>
    <row r="56" spans="1:13" ht="13.5" thickBot="1" x14ac:dyDescent="0.25">
      <c r="A56" s="77">
        <f>(D70+D75-D62)/J77</f>
        <v>16.677905168692316</v>
      </c>
      <c r="B56" s="36"/>
      <c r="C56" s="63">
        <f>(E70+E75-E62)/F30</f>
        <v>-10.751590903547273</v>
      </c>
      <c r="D56" s="104">
        <f>(D62+D63)/D75</f>
        <v>1.0510354584126644</v>
      </c>
      <c r="E56" s="36"/>
      <c r="F56" s="106">
        <f>(E62+E63)/E75</f>
        <v>0.69441605097969683</v>
      </c>
      <c r="G56" s="36"/>
      <c r="H56" s="38"/>
      <c r="I56" s="104">
        <f>(D67+D70)/D61</f>
        <v>1.7043656621899468</v>
      </c>
      <c r="J56" s="36"/>
      <c r="K56" s="105">
        <f>(E67+E70)/E61</f>
        <v>1.3912488804022902</v>
      </c>
    </row>
    <row r="57" spans="1:13" x14ac:dyDescent="0.2">
      <c r="A57" s="4"/>
      <c r="B57" s="4"/>
      <c r="C57" s="4"/>
      <c r="D57" s="4"/>
      <c r="E57" s="4"/>
      <c r="F57" s="4"/>
    </row>
    <row r="59" spans="1:13" ht="13.5" thickBot="1" x14ac:dyDescent="0.25">
      <c r="A59" s="72" t="s">
        <v>36</v>
      </c>
      <c r="I59" s="148" t="s">
        <v>27</v>
      </c>
      <c r="J59" s="148"/>
      <c r="K59" s="148"/>
    </row>
    <row r="60" spans="1:13" ht="16.5" thickBot="1" x14ac:dyDescent="0.3">
      <c r="A60" s="79"/>
      <c r="B60" s="80"/>
      <c r="C60" s="81"/>
      <c r="D60" s="82" t="s">
        <v>59</v>
      </c>
      <c r="E60" s="83">
        <v>2008</v>
      </c>
      <c r="I60" s="15"/>
      <c r="J60" s="92" t="str">
        <f>D60</f>
        <v>Vorjahr</v>
      </c>
      <c r="K60" s="93">
        <f>E60</f>
        <v>2008</v>
      </c>
      <c r="M60" s="61"/>
    </row>
    <row r="61" spans="1:13" x14ac:dyDescent="0.2">
      <c r="A61" s="84" t="s">
        <v>28</v>
      </c>
      <c r="B61" s="85"/>
      <c r="C61" s="85"/>
      <c r="D61" s="86">
        <f>'Finanzbericht 2007'!E61</f>
        <v>13914.91814</v>
      </c>
      <c r="E61" s="87">
        <v>13444.695239999999</v>
      </c>
      <c r="I61" s="94" t="s">
        <v>0</v>
      </c>
      <c r="J61" s="95"/>
      <c r="K61" s="96"/>
    </row>
    <row r="62" spans="1:13" x14ac:dyDescent="0.2">
      <c r="A62" s="13" t="s">
        <v>12</v>
      </c>
      <c r="B62" s="17"/>
      <c r="C62" s="17"/>
      <c r="D62" s="88">
        <f>'Finanzbericht 2007'!E62</f>
        <v>74.348129999999998</v>
      </c>
      <c r="E62" s="41">
        <v>394.00220000000002</v>
      </c>
      <c r="I62" s="97"/>
      <c r="J62" s="88">
        <f>'Finanzbericht 2007'!K62</f>
        <v>98636.072920000006</v>
      </c>
      <c r="K62" s="41">
        <v>88613.188209999993</v>
      </c>
    </row>
    <row r="63" spans="1:13" ht="13.5" thickBot="1" x14ac:dyDescent="0.25">
      <c r="A63" s="13" t="s">
        <v>43</v>
      </c>
      <c r="B63" s="17"/>
      <c r="C63" s="17"/>
      <c r="D63" s="88">
        <f>'Finanzbericht 2007'!E63</f>
        <v>35846.425669999997</v>
      </c>
      <c r="E63" s="88">
        <f>17790.11354+0.851</f>
        <v>17790.964539999997</v>
      </c>
      <c r="I63" s="98"/>
      <c r="J63" s="88"/>
      <c r="K63" s="99"/>
    </row>
    <row r="64" spans="1:13" x14ac:dyDescent="0.2">
      <c r="A64" s="13" t="s">
        <v>29</v>
      </c>
      <c r="B64" s="17"/>
      <c r="C64" s="17"/>
      <c r="D64" s="88">
        <f>'Finanzbericht 2007'!E64</f>
        <v>8056.9742500000002</v>
      </c>
      <c r="E64" s="41">
        <v>13262.678040000001</v>
      </c>
      <c r="I64" s="94" t="s">
        <v>5</v>
      </c>
      <c r="J64" s="95"/>
      <c r="K64" s="96"/>
    </row>
    <row r="65" spans="1:11" ht="13.5" thickBot="1" x14ac:dyDescent="0.25">
      <c r="A65" s="84" t="s">
        <v>30</v>
      </c>
      <c r="B65" s="85"/>
      <c r="C65" s="85"/>
      <c r="D65" s="86">
        <f>SUM(D62:D64)</f>
        <v>43977.748049999995</v>
      </c>
      <c r="E65" s="87">
        <f>SUM(E62:E64)</f>
        <v>31447.644779999995</v>
      </c>
      <c r="I65" s="97"/>
      <c r="J65" s="88">
        <f>'Finanzbericht 2007'!K65</f>
        <v>1597.52323</v>
      </c>
      <c r="K65" s="41">
        <v>1258.5207700000001</v>
      </c>
    </row>
    <row r="66" spans="1:11" ht="16.5" thickBot="1" x14ac:dyDescent="0.3">
      <c r="A66" s="79" t="s">
        <v>31</v>
      </c>
      <c r="B66" s="80"/>
      <c r="C66" s="80"/>
      <c r="D66" s="89">
        <f>D61+D65</f>
        <v>57892.666189999996</v>
      </c>
      <c r="E66" s="90">
        <f>E61+E65</f>
        <v>44892.340019999996</v>
      </c>
      <c r="I66" s="98"/>
      <c r="J66" s="100"/>
      <c r="K66" s="99"/>
    </row>
    <row r="67" spans="1:11" x14ac:dyDescent="0.2">
      <c r="A67" s="84" t="s">
        <v>32</v>
      </c>
      <c r="B67" s="85"/>
      <c r="C67" s="85"/>
      <c r="D67" s="86">
        <f>'Finanzbericht 2007'!E67</f>
        <v>15367.50567</v>
      </c>
      <c r="E67" s="87">
        <v>10602.1122</v>
      </c>
      <c r="I67" s="94" t="s">
        <v>11</v>
      </c>
      <c r="J67" s="88"/>
      <c r="K67" s="96"/>
    </row>
    <row r="68" spans="1:11" x14ac:dyDescent="0.2">
      <c r="A68" s="13" t="s">
        <v>39</v>
      </c>
      <c r="B68" s="17"/>
      <c r="C68" s="17"/>
      <c r="D68" s="88">
        <f>'Finanzbericht 2007'!E68</f>
        <v>8348.6029999999992</v>
      </c>
      <c r="E68" s="41">
        <f>8102.805-400</f>
        <v>7702.8050000000003</v>
      </c>
      <c r="I68" s="97"/>
      <c r="J68" s="88">
        <f>'Finanzbericht 2007'!K68</f>
        <v>209.39844999999997</v>
      </c>
      <c r="K68" s="41">
        <f>528.88624-163.11634</f>
        <v>365.76990000000001</v>
      </c>
    </row>
    <row r="69" spans="1:11" ht="13.5" thickBot="1" x14ac:dyDescent="0.25">
      <c r="A69" s="13" t="s">
        <v>38</v>
      </c>
      <c r="B69" s="17"/>
      <c r="C69" s="17"/>
      <c r="D69" s="88">
        <f>'Finanzbericht 2007'!E69</f>
        <v>0</v>
      </c>
      <c r="E69" s="41">
        <v>400</v>
      </c>
      <c r="I69" s="97"/>
      <c r="J69" s="88"/>
      <c r="K69" s="41"/>
    </row>
    <row r="70" spans="1:11" x14ac:dyDescent="0.2">
      <c r="A70" s="84" t="s">
        <v>33</v>
      </c>
      <c r="B70" s="85"/>
      <c r="C70" s="85"/>
      <c r="D70" s="86">
        <f>SUM(D68:D69)</f>
        <v>8348.6029999999992</v>
      </c>
      <c r="E70" s="87">
        <f>SUM(E68:E69)</f>
        <v>8102.8050000000003</v>
      </c>
      <c r="I70" s="94" t="s">
        <v>16</v>
      </c>
      <c r="J70" s="95"/>
      <c r="K70" s="96"/>
    </row>
    <row r="71" spans="1:11" x14ac:dyDescent="0.2">
      <c r="A71" s="13" t="s">
        <v>42</v>
      </c>
      <c r="B71" s="17"/>
      <c r="C71" s="17"/>
      <c r="D71" s="88">
        <f>'Finanzbericht 2007'!E71</f>
        <v>17708.58455</v>
      </c>
      <c r="E71" s="41">
        <f>13162.10204+1622.43011</f>
        <v>14784.532149999999</v>
      </c>
      <c r="I71" s="97"/>
      <c r="J71" s="88">
        <f>'Finanzbericht 2007'!K71</f>
        <v>960.90328999999997</v>
      </c>
      <c r="K71" s="41">
        <v>-3436.1113500000001</v>
      </c>
    </row>
    <row r="72" spans="1:11" ht="13.5" thickBot="1" x14ac:dyDescent="0.25">
      <c r="A72" s="13" t="s">
        <v>37</v>
      </c>
      <c r="B72" s="17"/>
      <c r="C72" s="17"/>
      <c r="D72" s="88">
        <f>'Finanzbericht 2007'!E72</f>
        <v>0</v>
      </c>
      <c r="E72" s="41">
        <v>0</v>
      </c>
      <c r="I72" s="98"/>
      <c r="J72" s="100"/>
      <c r="K72" s="99"/>
    </row>
    <row r="73" spans="1:11" x14ac:dyDescent="0.2">
      <c r="A73" s="13" t="s">
        <v>41</v>
      </c>
      <c r="B73" s="17"/>
      <c r="C73" s="17"/>
      <c r="D73" s="88">
        <f>'Finanzbericht 2007'!E73</f>
        <v>5942.0962099999997</v>
      </c>
      <c r="E73" s="88">
        <f>4744.58113+169.13918</f>
        <v>4913.7203099999997</v>
      </c>
      <c r="I73" s="94" t="s">
        <v>4</v>
      </c>
      <c r="J73" s="88"/>
      <c r="K73" s="96"/>
    </row>
    <row r="74" spans="1:11" s="56" customFormat="1" x14ac:dyDescent="0.2">
      <c r="A74" s="13" t="s">
        <v>40</v>
      </c>
      <c r="B74" s="17"/>
      <c r="C74" s="17"/>
      <c r="D74" s="88">
        <f>'Finanzbericht 2007'!E74</f>
        <v>10525.876759999999</v>
      </c>
      <c r="E74" s="41">
        <f>6489170.36/1000</f>
        <v>6489.1703600000001</v>
      </c>
      <c r="I74" s="97"/>
      <c r="J74" s="88">
        <f>'Finanzbericht 2007'!K74</f>
        <v>803.34717000000001</v>
      </c>
      <c r="K74" s="41">
        <v>-3765.39347</v>
      </c>
    </row>
    <row r="75" spans="1:11" ht="13.5" thickBot="1" x14ac:dyDescent="0.25">
      <c r="A75" s="84" t="s">
        <v>34</v>
      </c>
      <c r="B75" s="85"/>
      <c r="C75" s="85"/>
      <c r="D75" s="86">
        <f>SUM(D71:D74)</f>
        <v>34176.557520000002</v>
      </c>
      <c r="E75" s="87">
        <f>SUM(E71:E74)</f>
        <v>26187.42282</v>
      </c>
      <c r="I75" s="101"/>
      <c r="J75" s="100"/>
      <c r="K75" s="99"/>
    </row>
    <row r="76" spans="1:11" ht="16.5" thickBot="1" x14ac:dyDescent="0.3">
      <c r="A76" s="79" t="s">
        <v>35</v>
      </c>
      <c r="B76" s="80"/>
      <c r="C76" s="80"/>
      <c r="D76" s="89">
        <f>D75+D70+D67</f>
        <v>57892.666190000004</v>
      </c>
      <c r="E76" s="90">
        <f>E75+E70+E67</f>
        <v>44892.340020000003</v>
      </c>
      <c r="I76" s="12" t="s">
        <v>9</v>
      </c>
      <c r="J76" s="102"/>
      <c r="K76" s="33"/>
    </row>
    <row r="77" spans="1:11" ht="13.5" thickBot="1" x14ac:dyDescent="0.25">
      <c r="A77" s="8"/>
      <c r="B77" s="8"/>
      <c r="C77" s="8"/>
      <c r="D77" s="8"/>
      <c r="E77" s="91" t="str">
        <f>IF(E76=E66, "i.O.", "Fehler!")</f>
        <v>i.O.</v>
      </c>
      <c r="I77" s="13"/>
      <c r="J77" s="112">
        <f>'Finanzbericht 2007'!K77</f>
        <v>2545.3323999999993</v>
      </c>
      <c r="K77" s="41">
        <f>F30</f>
        <v>-3152.6706999999988</v>
      </c>
    </row>
    <row r="78" spans="1:11" ht="13.5" thickBot="1" x14ac:dyDescent="0.25">
      <c r="I78" s="101"/>
      <c r="J78" s="103"/>
      <c r="K78" s="38"/>
    </row>
    <row r="82" spans="1:6" x14ac:dyDescent="0.2">
      <c r="A82" s="17"/>
      <c r="B82" s="17"/>
      <c r="C82" s="17"/>
      <c r="D82" s="30"/>
      <c r="E82" s="30"/>
      <c r="F82" s="4"/>
    </row>
    <row r="83" spans="1:6" x14ac:dyDescent="0.2">
      <c r="A83" s="17"/>
      <c r="B83" s="17"/>
      <c r="C83" s="17"/>
      <c r="D83" s="30"/>
      <c r="E83" s="30"/>
      <c r="F83" s="4"/>
    </row>
    <row r="84" spans="1:6" x14ac:dyDescent="0.2">
      <c r="A84" s="4"/>
      <c r="B84" s="4"/>
      <c r="C84" s="4"/>
      <c r="D84" s="4"/>
      <c r="E84" s="4"/>
      <c r="F84" s="4"/>
    </row>
    <row r="90" spans="1:6" x14ac:dyDescent="0.2">
      <c r="A90" s="64"/>
      <c r="B90" s="4"/>
      <c r="C90" s="4"/>
    </row>
    <row r="91" spans="1:6" x14ac:dyDescent="0.2">
      <c r="A91" s="4"/>
      <c r="B91" s="4"/>
      <c r="C91" s="4"/>
    </row>
    <row r="92" spans="1:6" x14ac:dyDescent="0.2">
      <c r="A92" s="4"/>
      <c r="B92" s="68"/>
      <c r="C92" s="68"/>
    </row>
    <row r="93" spans="1:6" x14ac:dyDescent="0.2">
      <c r="A93" s="4"/>
      <c r="B93" s="4"/>
      <c r="C93" s="4"/>
    </row>
    <row r="94" spans="1:6" x14ac:dyDescent="0.2">
      <c r="A94" s="69"/>
      <c r="B94" s="4"/>
      <c r="C94" s="4"/>
    </row>
    <row r="95" spans="1:6" x14ac:dyDescent="0.2">
      <c r="A95" s="4"/>
      <c r="B95" s="4"/>
      <c r="C95" s="4"/>
    </row>
    <row r="96" spans="1:6" x14ac:dyDescent="0.2">
      <c r="A96" s="4"/>
      <c r="B96" s="67"/>
      <c r="C96" s="67"/>
    </row>
    <row r="97" spans="1:3" x14ac:dyDescent="0.2">
      <c r="A97" s="4"/>
      <c r="B97" s="68"/>
      <c r="C97" s="68"/>
    </row>
    <row r="98" spans="1:3" x14ac:dyDescent="0.2">
      <c r="A98" s="4"/>
      <c r="B98" s="4"/>
      <c r="C98" s="4"/>
    </row>
    <row r="99" spans="1:3" x14ac:dyDescent="0.2">
      <c r="A99" s="4"/>
      <c r="B99" s="4"/>
      <c r="C99" s="4"/>
    </row>
    <row r="100" spans="1:3" x14ac:dyDescent="0.2">
      <c r="A100" s="4"/>
      <c r="B100" s="4"/>
      <c r="C100" s="4"/>
    </row>
    <row r="101" spans="1:3" x14ac:dyDescent="0.2">
      <c r="A101" s="4"/>
      <c r="B101" s="4"/>
      <c r="C101" s="4"/>
    </row>
    <row r="102" spans="1:3" x14ac:dyDescent="0.2">
      <c r="A102" s="4"/>
      <c r="B102" s="4"/>
      <c r="C102" s="4"/>
    </row>
    <row r="103" spans="1:3" x14ac:dyDescent="0.2">
      <c r="A103" s="4"/>
      <c r="B103" s="4"/>
      <c r="C103" s="4"/>
    </row>
    <row r="104" spans="1:3" x14ac:dyDescent="0.2">
      <c r="A104" s="4"/>
      <c r="B104" s="68"/>
      <c r="C104" s="68"/>
    </row>
    <row r="105" spans="1:3" x14ac:dyDescent="0.2">
      <c r="A105" s="4"/>
      <c r="B105" s="67"/>
      <c r="C105" s="67"/>
    </row>
    <row r="106" spans="1:3" x14ac:dyDescent="0.2">
      <c r="A106" s="4"/>
      <c r="B106" s="4"/>
      <c r="C106" s="4"/>
    </row>
    <row r="107" spans="1:3" x14ac:dyDescent="0.2">
      <c r="A107" s="4"/>
      <c r="B107" s="4"/>
      <c r="C107" s="4"/>
    </row>
    <row r="108" spans="1:3" x14ac:dyDescent="0.2">
      <c r="A108" s="64"/>
      <c r="B108" s="4"/>
      <c r="C108" s="4"/>
    </row>
    <row r="109" spans="1:3" x14ac:dyDescent="0.2">
      <c r="A109" s="4"/>
      <c r="B109" s="4"/>
      <c r="C109" s="4"/>
    </row>
    <row r="110" spans="1:3" x14ac:dyDescent="0.2">
      <c r="A110" s="4"/>
      <c r="B110" s="68"/>
      <c r="C110" s="68"/>
    </row>
    <row r="111" spans="1:3" x14ac:dyDescent="0.2">
      <c r="A111" s="4"/>
      <c r="B111" s="67"/>
      <c r="C111" s="67"/>
    </row>
    <row r="112" spans="1:3" x14ac:dyDescent="0.2">
      <c r="A112" s="4"/>
      <c r="B112" s="4"/>
      <c r="C112" s="4"/>
    </row>
    <row r="113" spans="1:3" x14ac:dyDescent="0.2">
      <c r="A113" s="4"/>
      <c r="B113" s="4"/>
      <c r="C113" s="4"/>
    </row>
    <row r="114" spans="1:3" x14ac:dyDescent="0.2">
      <c r="A114" s="64"/>
      <c r="B114" s="4"/>
      <c r="C114" s="4"/>
    </row>
    <row r="115" spans="1:3" x14ac:dyDescent="0.2">
      <c r="A115" s="4"/>
      <c r="B115" s="4"/>
      <c r="C115" s="4"/>
    </row>
    <row r="116" spans="1:3" x14ac:dyDescent="0.2">
      <c r="A116" s="4"/>
      <c r="B116" s="68"/>
      <c r="C116" s="68"/>
    </row>
    <row r="117" spans="1:3" x14ac:dyDescent="0.2">
      <c r="A117" s="4"/>
      <c r="B117" s="67"/>
      <c r="C117" s="67"/>
    </row>
    <row r="118" spans="1:3" x14ac:dyDescent="0.2">
      <c r="A118" s="4"/>
      <c r="B118" s="4"/>
      <c r="C118" s="4"/>
    </row>
    <row r="119" spans="1:3" x14ac:dyDescent="0.2">
      <c r="A119" s="4"/>
      <c r="B119" s="4"/>
      <c r="C119" s="4"/>
    </row>
    <row r="120" spans="1:3" x14ac:dyDescent="0.2">
      <c r="A120" s="64"/>
      <c r="B120" s="4"/>
      <c r="C120" s="4"/>
    </row>
    <row r="121" spans="1:3" x14ac:dyDescent="0.2">
      <c r="A121" s="4"/>
      <c r="B121" s="4"/>
      <c r="C121" s="4"/>
    </row>
    <row r="122" spans="1:3" x14ac:dyDescent="0.2">
      <c r="A122" s="65"/>
      <c r="B122" s="66"/>
      <c r="C122" s="65"/>
    </row>
    <row r="123" spans="1:3" x14ac:dyDescent="0.2">
      <c r="A123" s="65"/>
      <c r="B123" s="66"/>
      <c r="C123" s="65"/>
    </row>
    <row r="124" spans="1:3" x14ac:dyDescent="0.2">
      <c r="A124" s="65"/>
      <c r="B124" s="65"/>
      <c r="C124" s="65"/>
    </row>
    <row r="125" spans="1:3" x14ac:dyDescent="0.2">
      <c r="A125" s="4"/>
      <c r="B125" s="4"/>
      <c r="C125" s="4"/>
    </row>
    <row r="126" spans="1:3" x14ac:dyDescent="0.2">
      <c r="A126" s="4"/>
      <c r="B126" s="4"/>
      <c r="C126" s="4"/>
    </row>
    <row r="127" spans="1:3" x14ac:dyDescent="0.2">
      <c r="A127" s="70"/>
      <c r="B127" s="71"/>
      <c r="C127" s="4"/>
    </row>
  </sheetData>
  <mergeCells count="10">
    <mergeCell ref="I41:K41"/>
    <mergeCell ref="A50:C50"/>
    <mergeCell ref="D50:H50"/>
    <mergeCell ref="I59:K59"/>
    <mergeCell ref="I5:K5"/>
    <mergeCell ref="I7:K7"/>
    <mergeCell ref="I8:K8"/>
    <mergeCell ref="I14:K14"/>
    <mergeCell ref="I23:K23"/>
    <mergeCell ref="I32:K32"/>
  </mergeCells>
  <printOptions horizontalCentered="1" gridLinesSet="0"/>
  <pageMargins left="0.78740157480314965" right="0.59055118110236227" top="0.78740157480314965" bottom="0.78740157480314965" header="0.51181102362204722" footer="0.51181102362204722"/>
  <pageSetup paperSize="9" scale="71" orientation="portrait" horizontalDpi="300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Q127"/>
  <sheetViews>
    <sheetView showGridLines="0" topLeftCell="A22" zoomScale="110" zoomScaleNormal="110" workbookViewId="0">
      <selection activeCell="F32" sqref="F32"/>
    </sheetView>
  </sheetViews>
  <sheetFormatPr baseColWidth="10" defaultRowHeight="12.75" x14ac:dyDescent="0.2"/>
  <cols>
    <col min="1" max="1" width="11.7109375" style="2" customWidth="1"/>
    <col min="2" max="2" width="8.28515625" style="2" customWidth="1"/>
    <col min="3" max="3" width="11.85546875" style="2" customWidth="1"/>
    <col min="4" max="4" width="11.42578125" style="2"/>
    <col min="5" max="5" width="10.42578125" style="2" customWidth="1"/>
    <col min="6" max="6" width="9.42578125" style="2" customWidth="1"/>
    <col min="7" max="7" width="1.28515625" style="2" customWidth="1"/>
    <col min="8" max="8" width="3.42578125" style="2" customWidth="1"/>
    <col min="9" max="9" width="8.7109375" style="2" customWidth="1"/>
    <col min="10" max="10" width="10.5703125" style="2" customWidth="1"/>
    <col min="11" max="11" width="9.42578125" style="2" customWidth="1"/>
    <col min="12" max="16384" width="11.42578125" style="2"/>
  </cols>
  <sheetData>
    <row r="1" spans="1:17" ht="20.25" x14ac:dyDescent="0.3">
      <c r="A1" s="55" t="s">
        <v>58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pans="1:17" s="1" customFormat="1" x14ac:dyDescent="0.2">
      <c r="A2" s="6"/>
      <c r="B2" s="7"/>
      <c r="C2" s="7"/>
      <c r="D2" s="7"/>
      <c r="E2" s="7"/>
      <c r="F2" s="7"/>
      <c r="G2" s="7"/>
      <c r="H2" s="7"/>
      <c r="I2" s="7"/>
      <c r="J2" s="7"/>
      <c r="K2" s="7"/>
    </row>
    <row r="3" spans="1:17" s="1" customFormat="1" x14ac:dyDescent="0.2">
      <c r="A3" s="6"/>
      <c r="B3" s="7"/>
      <c r="C3" s="7"/>
      <c r="D3" s="7"/>
      <c r="E3" s="7"/>
      <c r="F3" s="7"/>
      <c r="G3" s="7"/>
      <c r="H3" s="7"/>
      <c r="I3" s="7"/>
      <c r="J3" s="7"/>
      <c r="K3" s="7"/>
      <c r="L3" s="76" t="str">
        <f>IF(C20=F20,"i.O.","Fehler!")</f>
        <v>i.O.</v>
      </c>
    </row>
    <row r="4" spans="1:17" ht="13.5" thickBot="1" x14ac:dyDescent="0.25">
      <c r="A4" s="8"/>
      <c r="B4" s="8"/>
      <c r="C4" s="8"/>
      <c r="D4" s="8"/>
      <c r="E4" s="8"/>
      <c r="F4" s="8"/>
      <c r="G4" s="8"/>
      <c r="H4" s="8"/>
      <c r="I4" s="8"/>
      <c r="J4" s="8"/>
      <c r="K4" s="8"/>
    </row>
    <row r="5" spans="1:17" ht="15.75" x14ac:dyDescent="0.25">
      <c r="A5" s="47" t="s">
        <v>1</v>
      </c>
      <c r="B5" s="48"/>
      <c r="C5" s="48"/>
      <c r="D5" s="48"/>
      <c r="E5" s="48"/>
      <c r="F5" s="49"/>
      <c r="G5" s="8"/>
      <c r="H5" s="8"/>
      <c r="I5" s="149" t="s">
        <v>15</v>
      </c>
      <c r="J5" s="150"/>
      <c r="K5" s="151"/>
      <c r="N5" s="4"/>
      <c r="O5" s="64"/>
      <c r="P5" s="4"/>
      <c r="Q5" s="4"/>
    </row>
    <row r="6" spans="1:17" ht="15.75" x14ac:dyDescent="0.25">
      <c r="A6" s="50"/>
      <c r="B6" s="19"/>
      <c r="C6" s="19"/>
      <c r="D6" s="19"/>
      <c r="E6" s="19"/>
      <c r="F6" s="20"/>
      <c r="G6" s="8"/>
      <c r="H6" s="8"/>
      <c r="I6" s="110" t="s">
        <v>51</v>
      </c>
      <c r="J6" s="17"/>
      <c r="K6" s="23"/>
      <c r="N6" s="4"/>
      <c r="O6" s="4"/>
      <c r="P6" s="4"/>
      <c r="Q6" s="4"/>
    </row>
    <row r="7" spans="1:17" ht="13.5" thickBot="1" x14ac:dyDescent="0.25">
      <c r="A7" s="51" t="s">
        <v>2</v>
      </c>
      <c r="B7" s="19" t="s">
        <v>14</v>
      </c>
      <c r="C7" s="19"/>
      <c r="D7" s="52" t="s">
        <v>3</v>
      </c>
      <c r="E7" s="19" t="s">
        <v>14</v>
      </c>
      <c r="F7" s="20"/>
      <c r="G7" s="8"/>
      <c r="H7" s="8"/>
      <c r="I7" s="155" t="s">
        <v>16</v>
      </c>
      <c r="J7" s="156"/>
      <c r="K7" s="157"/>
      <c r="N7" s="4"/>
      <c r="O7" s="65"/>
      <c r="P7" s="65"/>
      <c r="Q7" s="65"/>
    </row>
    <row r="8" spans="1:17" x14ac:dyDescent="0.2">
      <c r="A8" s="12" t="s">
        <v>25</v>
      </c>
      <c r="B8" s="11"/>
      <c r="C8" s="11">
        <f>-F40</f>
        <v>-1321.6424999999988</v>
      </c>
      <c r="D8" s="12" t="s">
        <v>26</v>
      </c>
      <c r="E8" s="11"/>
      <c r="F8" s="33">
        <f>F26</f>
        <v>803.34717000000001</v>
      </c>
      <c r="G8" s="8"/>
      <c r="H8" s="8"/>
      <c r="I8" s="152" t="s">
        <v>53</v>
      </c>
      <c r="J8" s="153"/>
      <c r="K8" s="154"/>
      <c r="N8" s="4"/>
      <c r="O8" s="65"/>
      <c r="P8" s="66"/>
      <c r="Q8" s="65"/>
    </row>
    <row r="9" spans="1:17" x14ac:dyDescent="0.2">
      <c r="A9" s="13" t="str">
        <f>IF(F32&lt;0,"Zunahme Debitoren","")</f>
        <v>Zunahme Debitoren</v>
      </c>
      <c r="B9" s="17"/>
      <c r="C9" s="17">
        <f>IF(F32&lt;0,-F32,"")</f>
        <v>14492.810719999998</v>
      </c>
      <c r="D9" s="13" t="s">
        <v>5</v>
      </c>
      <c r="E9" s="17"/>
      <c r="F9" s="23">
        <f>F27</f>
        <v>1597.52323</v>
      </c>
      <c r="G9" s="8"/>
      <c r="H9" s="8"/>
      <c r="I9" s="13"/>
      <c r="J9" s="17"/>
      <c r="K9" s="23"/>
      <c r="N9" s="4"/>
      <c r="O9" s="65"/>
      <c r="P9" s="65"/>
      <c r="Q9" s="65"/>
    </row>
    <row r="10" spans="1:17" x14ac:dyDescent="0.2">
      <c r="A10" s="13" t="str">
        <f>IF(F33&lt;0,"Zunahme Bestände","")</f>
        <v>Zunahme Bestände</v>
      </c>
      <c r="B10" s="17"/>
      <c r="C10" s="17">
        <f>IF(F33&lt;0,-F33,"")</f>
        <v>2463.7158100000006</v>
      </c>
      <c r="D10" s="34" t="s">
        <v>52</v>
      </c>
      <c r="E10" s="9"/>
      <c r="F10" s="35">
        <f>F28</f>
        <v>144.46199999999953</v>
      </c>
      <c r="G10" s="8"/>
      <c r="H10" s="8"/>
      <c r="I10" s="107" t="str">
        <f>I19</f>
        <v>Vorjahr</v>
      </c>
      <c r="J10" s="17"/>
      <c r="K10" s="108">
        <f>K19</f>
        <v>2007</v>
      </c>
      <c r="N10" s="4"/>
      <c r="O10" s="4"/>
      <c r="P10" s="4"/>
      <c r="Q10" s="4"/>
    </row>
    <row r="11" spans="1:17" ht="13.5" thickBot="1" x14ac:dyDescent="0.25">
      <c r="A11" s="13" t="str">
        <f>IF(F34&lt;0,"Abnahme Anzahlungen","")</f>
        <v/>
      </c>
      <c r="B11" s="17"/>
      <c r="C11" s="23" t="str">
        <f>IF(F34&lt;0,-F34,"")</f>
        <v/>
      </c>
      <c r="D11" s="57" t="s">
        <v>6</v>
      </c>
      <c r="E11" s="58"/>
      <c r="F11" s="23">
        <f>SUM(F8:F10)</f>
        <v>2545.3323999999993</v>
      </c>
      <c r="G11" s="8"/>
      <c r="H11" s="8"/>
      <c r="I11" s="104">
        <f>J71/D76</f>
        <v>4.4740873701076961E-2</v>
      </c>
      <c r="J11" s="36"/>
      <c r="K11" s="60">
        <f>K71/((E76))</f>
        <v>1.6598014105040131E-2</v>
      </c>
      <c r="N11" s="4"/>
      <c r="O11" s="65"/>
      <c r="P11" s="65"/>
      <c r="Q11" s="65"/>
    </row>
    <row r="12" spans="1:17" x14ac:dyDescent="0.2">
      <c r="A12" s="13" t="str">
        <f>IF(F35&lt;0,"Abn. Rückstellungen","")</f>
        <v/>
      </c>
      <c r="B12" s="17"/>
      <c r="C12" s="23" t="str">
        <f>IF(F35&lt;0,-F35,"")</f>
        <v/>
      </c>
      <c r="D12" s="13" t="str">
        <f>IF(F32&gt;0,"Abnahme Debitoren","")</f>
        <v/>
      </c>
      <c r="E12" s="17"/>
      <c r="F12" s="23" t="str">
        <f>IF(F32&gt;0,F32,"")</f>
        <v/>
      </c>
      <c r="G12" s="8"/>
      <c r="H12" s="8"/>
      <c r="I12" s="111" t="s">
        <v>57</v>
      </c>
      <c r="J12" s="8"/>
      <c r="K12" s="8"/>
      <c r="N12" s="4"/>
      <c r="O12" s="65"/>
      <c r="P12" s="65"/>
      <c r="Q12" s="65"/>
    </row>
    <row r="13" spans="1:17" ht="13.5" thickBot="1" x14ac:dyDescent="0.25">
      <c r="A13" s="13" t="str">
        <f>IF(F36&lt;0,"Abnahme Kreditoren","")</f>
        <v/>
      </c>
      <c r="B13" s="17"/>
      <c r="C13" s="23" t="str">
        <f>IF(F36&lt;0,-F36,"")</f>
        <v/>
      </c>
      <c r="D13" s="13" t="str">
        <f>IF(F33&gt;0,"Bestandsabbau","")</f>
        <v/>
      </c>
      <c r="E13" s="17"/>
      <c r="F13" s="23" t="str">
        <f>IF(F33&gt;0,F33,"")</f>
        <v/>
      </c>
      <c r="G13" s="8"/>
      <c r="H13" s="8"/>
      <c r="I13" s="8"/>
      <c r="J13" s="8"/>
      <c r="K13" s="8"/>
      <c r="N13" s="4"/>
      <c r="O13" s="4"/>
      <c r="P13" s="4"/>
      <c r="Q13" s="4"/>
    </row>
    <row r="14" spans="1:17" x14ac:dyDescent="0.2">
      <c r="A14" s="13" t="str">
        <f>IF(F47&gt;0,"Aufbau FlüMi","")</f>
        <v/>
      </c>
      <c r="B14" s="17"/>
      <c r="C14" s="23" t="str">
        <f>IF(F47&gt;0,F47,"")</f>
        <v/>
      </c>
      <c r="D14" s="13" t="str">
        <f>IF(F34&gt;0,"Zunahme Anzahlungen","")</f>
        <v/>
      </c>
      <c r="E14" s="17"/>
      <c r="F14" s="23" t="str">
        <f>IF(F34&gt;0,F34,"")</f>
        <v/>
      </c>
      <c r="G14" s="8"/>
      <c r="H14" s="8"/>
      <c r="I14" s="149" t="s">
        <v>46</v>
      </c>
      <c r="J14" s="150"/>
      <c r="K14" s="151"/>
      <c r="N14" s="4"/>
      <c r="O14" s="67"/>
      <c r="P14" s="67"/>
      <c r="Q14" s="67"/>
    </row>
    <row r="15" spans="1:17" x14ac:dyDescent="0.2">
      <c r="A15" s="13" t="str">
        <f>IF(F43&lt;0,"Abn. lafri Schulden","")</f>
        <v/>
      </c>
      <c r="B15" s="17"/>
      <c r="C15" s="23" t="str">
        <f>IF(F43&lt;0,-F43,"")</f>
        <v/>
      </c>
      <c r="D15" s="13" t="str">
        <f>IF(F35&gt;0,"Zunahme Rückstellungen","")</f>
        <v>Zunahme Rückstellungen</v>
      </c>
      <c r="E15" s="17"/>
      <c r="F15" s="23">
        <f>IF(F35&gt;0,F35,"")</f>
        <v>2226.4398099999999</v>
      </c>
      <c r="G15" s="8"/>
      <c r="H15" s="8"/>
      <c r="I15" s="13"/>
      <c r="J15" s="17"/>
      <c r="K15" s="23"/>
      <c r="N15" s="4"/>
      <c r="O15" s="67"/>
      <c r="P15" s="67"/>
      <c r="Q15" s="67"/>
    </row>
    <row r="16" spans="1:17" x14ac:dyDescent="0.2">
      <c r="A16" s="13" t="str">
        <f>IF(F44&lt;0,"Abn. kufri Schulden","")</f>
        <v/>
      </c>
      <c r="B16" s="17"/>
      <c r="C16" s="23" t="str">
        <f>IF(F44&lt;0,-F44,"")</f>
        <v/>
      </c>
      <c r="D16" s="13" t="str">
        <f>IF(F36&gt;0,"Zunahme Kreditoren","")</f>
        <v>Zunahme Kreditoren</v>
      </c>
      <c r="E16" s="17"/>
      <c r="F16" s="23">
        <f>IF(F36&gt;0,F36,"")</f>
        <v>794.55561999999918</v>
      </c>
      <c r="G16" s="8"/>
      <c r="H16" s="8"/>
      <c r="I16" s="13"/>
      <c r="J16" s="37" t="s">
        <v>9</v>
      </c>
      <c r="K16" s="23"/>
    </row>
    <row r="17" spans="1:14" x14ac:dyDescent="0.2">
      <c r="A17" s="13"/>
      <c r="B17" s="17"/>
      <c r="C17" s="17"/>
      <c r="D17" s="13" t="str">
        <f>IF(F47&lt;0,"Abbau FlüMi","")</f>
        <v>Abbau FlüMi</v>
      </c>
      <c r="E17" s="17"/>
      <c r="F17" s="23">
        <f>IF(F47&lt;0,-F47,"")</f>
        <v>109.57177000000411</v>
      </c>
      <c r="G17" s="8"/>
      <c r="H17" s="8"/>
      <c r="I17" s="13"/>
      <c r="J17" s="30" t="s">
        <v>0</v>
      </c>
      <c r="K17" s="23"/>
    </row>
    <row r="18" spans="1:14" x14ac:dyDescent="0.2">
      <c r="A18" s="13"/>
      <c r="B18" s="17"/>
      <c r="C18" s="17"/>
      <c r="D18" s="13" t="str">
        <f>IF(F43&gt;0,"Zunahme lafri Schulden","")</f>
        <v/>
      </c>
      <c r="E18" s="17"/>
      <c r="F18" s="23" t="str">
        <f>IF(F43&gt;0,F43,"")</f>
        <v/>
      </c>
      <c r="G18" s="8"/>
      <c r="H18" s="8"/>
      <c r="I18" s="13"/>
      <c r="J18" s="17"/>
      <c r="K18" s="23"/>
    </row>
    <row r="19" spans="1:14" ht="13.5" thickBot="1" x14ac:dyDescent="0.25">
      <c r="A19" s="13"/>
      <c r="B19" s="17"/>
      <c r="C19" s="59"/>
      <c r="D19" s="13" t="str">
        <f>IF(F44&gt;0,"Zunahme kufri Schulden","")</f>
        <v>Zunahme kufri Schulden</v>
      </c>
      <c r="E19" s="17"/>
      <c r="F19" s="59">
        <f>IF(F44&gt;0,F44,"")</f>
        <v>9958.9844299999986</v>
      </c>
      <c r="G19" s="8"/>
      <c r="H19" s="8"/>
      <c r="I19" s="107" t="str">
        <f>I37</f>
        <v>Vorjahr</v>
      </c>
      <c r="J19" s="17"/>
      <c r="K19" s="108">
        <f>K37</f>
        <v>2007</v>
      </c>
    </row>
    <row r="20" spans="1:14" ht="14.25" thickTop="1" thickBot="1" x14ac:dyDescent="0.25">
      <c r="A20" s="73"/>
      <c r="B20" s="74"/>
      <c r="C20" s="74">
        <f>SUM(C8:C19)</f>
        <v>15634.884030000001</v>
      </c>
      <c r="D20" s="73"/>
      <c r="E20" s="74"/>
      <c r="F20" s="75">
        <f>SUM(F11:F19)</f>
        <v>15634.884030000001</v>
      </c>
      <c r="G20" s="8"/>
      <c r="H20" s="8"/>
      <c r="I20" s="104">
        <f>J77/J62</f>
        <v>2.8469301735570916E-2</v>
      </c>
      <c r="J20" s="36"/>
      <c r="K20" s="105">
        <f>F30/K62</f>
        <v>2.580528932923376E-2</v>
      </c>
    </row>
    <row r="21" spans="1:14" x14ac:dyDescent="0.2">
      <c r="B21" s="8"/>
      <c r="C21" s="8"/>
      <c r="D21" s="8"/>
      <c r="E21" s="8"/>
      <c r="F21" s="8"/>
      <c r="G21" s="8"/>
      <c r="H21" s="8"/>
      <c r="I21" s="8"/>
      <c r="J21" s="8"/>
      <c r="K21" s="8"/>
    </row>
    <row r="22" spans="1:14" ht="13.5" thickBot="1" x14ac:dyDescent="0.25">
      <c r="B22" s="8"/>
      <c r="C22" s="8"/>
      <c r="D22" s="8"/>
      <c r="E22" s="8"/>
      <c r="F22" s="8"/>
      <c r="G22" s="8"/>
      <c r="H22" s="8"/>
      <c r="I22" s="8"/>
      <c r="J22" s="8"/>
      <c r="K22" s="8"/>
    </row>
    <row r="23" spans="1:14" ht="16.5" thickBot="1" x14ac:dyDescent="0.3">
      <c r="A23" s="53" t="s">
        <v>24</v>
      </c>
      <c r="B23" s="3"/>
      <c r="C23" s="3"/>
      <c r="D23" s="3"/>
      <c r="E23" s="3"/>
      <c r="F23" s="54"/>
      <c r="G23" s="8"/>
      <c r="H23" s="8"/>
      <c r="I23" s="149" t="s">
        <v>45</v>
      </c>
      <c r="J23" s="150"/>
      <c r="K23" s="151"/>
    </row>
    <row r="24" spans="1:14" ht="13.5" thickBot="1" x14ac:dyDescent="0.25">
      <c r="A24" s="15"/>
      <c r="B24" s="16"/>
      <c r="C24" s="16"/>
      <c r="D24" s="16"/>
      <c r="E24" s="16"/>
      <c r="F24" s="78">
        <f>E60</f>
        <v>2007</v>
      </c>
      <c r="G24" s="8"/>
      <c r="H24" s="8"/>
      <c r="I24" s="13"/>
      <c r="J24" s="17"/>
      <c r="K24" s="23"/>
    </row>
    <row r="25" spans="1:14" x14ac:dyDescent="0.2">
      <c r="A25" s="13"/>
      <c r="B25" s="17"/>
      <c r="C25" s="17"/>
      <c r="D25" s="17"/>
      <c r="E25" s="17"/>
      <c r="F25" s="18"/>
      <c r="G25" s="8"/>
      <c r="H25" s="8"/>
      <c r="I25" s="13"/>
      <c r="J25" s="21" t="s">
        <v>16</v>
      </c>
      <c r="K25" s="23"/>
      <c r="M25" s="62"/>
    </row>
    <row r="26" spans="1:14" x14ac:dyDescent="0.2">
      <c r="A26" s="13" t="s">
        <v>26</v>
      </c>
      <c r="B26" s="17"/>
      <c r="C26" s="17"/>
      <c r="D26" s="17"/>
      <c r="E26" s="17"/>
      <c r="F26" s="22">
        <f>$K74</f>
        <v>803.34717000000001</v>
      </c>
      <c r="G26" s="8"/>
      <c r="H26" s="8"/>
      <c r="I26" s="13"/>
      <c r="J26" s="30" t="s">
        <v>11</v>
      </c>
      <c r="K26" s="23"/>
    </row>
    <row r="27" spans="1:14" x14ac:dyDescent="0.2">
      <c r="A27" s="13" t="s">
        <v>5</v>
      </c>
      <c r="B27" s="17"/>
      <c r="C27" s="17"/>
      <c r="D27" s="17"/>
      <c r="E27" s="17"/>
      <c r="F27" s="22">
        <f>$K65</f>
        <v>1597.52323</v>
      </c>
      <c r="G27" s="8"/>
      <c r="H27" s="8"/>
      <c r="I27" s="13"/>
      <c r="J27" s="17"/>
      <c r="K27" s="23"/>
    </row>
    <row r="28" spans="1:14" x14ac:dyDescent="0.2">
      <c r="A28" s="13" t="s">
        <v>44</v>
      </c>
      <c r="B28" s="17"/>
      <c r="C28" s="17"/>
      <c r="D28" s="17"/>
      <c r="E28" s="17"/>
      <c r="F28" s="22">
        <f>$E68-$D68</f>
        <v>144.46199999999953</v>
      </c>
      <c r="G28" s="8"/>
      <c r="H28" s="8"/>
      <c r="I28" s="107" t="str">
        <f>I37</f>
        <v>Vorjahr</v>
      </c>
      <c r="J28" s="17"/>
      <c r="K28" s="108">
        <f>K46</f>
        <v>2007</v>
      </c>
    </row>
    <row r="29" spans="1:14" ht="13.5" thickBot="1" x14ac:dyDescent="0.25">
      <c r="A29" s="13"/>
      <c r="B29" s="17"/>
      <c r="C29" s="17"/>
      <c r="D29" s="17"/>
      <c r="E29" s="17"/>
      <c r="F29" s="22"/>
      <c r="G29" s="8"/>
      <c r="H29" s="8"/>
      <c r="I29" s="77">
        <f>J71/J68</f>
        <v>7.348490540137651</v>
      </c>
      <c r="J29" s="36"/>
      <c r="K29" s="63">
        <f>K71/K68</f>
        <v>4.5888748937730917</v>
      </c>
    </row>
    <row r="30" spans="1:14" x14ac:dyDescent="0.2">
      <c r="A30" s="24" t="s">
        <v>6</v>
      </c>
      <c r="B30" s="14"/>
      <c r="C30" s="14"/>
      <c r="D30" s="14"/>
      <c r="E30" s="14"/>
      <c r="F30" s="25">
        <f>SUM(F26:F28)</f>
        <v>2545.3323999999993</v>
      </c>
      <c r="G30" s="8"/>
      <c r="H30" s="8"/>
      <c r="I30" s="8"/>
      <c r="J30" s="8"/>
      <c r="K30" s="8"/>
    </row>
    <row r="31" spans="1:14" ht="13.5" thickBot="1" x14ac:dyDescent="0.25">
      <c r="A31" s="13"/>
      <c r="B31" s="17"/>
      <c r="C31" s="17"/>
      <c r="D31" s="17"/>
      <c r="E31" s="17"/>
      <c r="F31" s="22"/>
      <c r="G31" s="8"/>
      <c r="H31" s="8"/>
      <c r="I31" s="8"/>
      <c r="J31" s="8"/>
      <c r="K31" s="8"/>
    </row>
    <row r="32" spans="1:14" x14ac:dyDescent="0.2">
      <c r="A32" s="26" t="str">
        <f>IF(D63-E63&lt;0,"- zunehmende Debitoren","+ abnehmende Debitoren")</f>
        <v>- zunehmende Debitoren</v>
      </c>
      <c r="B32" s="17"/>
      <c r="C32" s="17"/>
      <c r="D32" s="17"/>
      <c r="E32" s="17"/>
      <c r="F32" s="22">
        <f>$D63-$E63</f>
        <v>-14492.810719999998</v>
      </c>
      <c r="G32" s="8"/>
      <c r="H32" s="8"/>
      <c r="I32" s="149" t="s">
        <v>17</v>
      </c>
      <c r="J32" s="150"/>
      <c r="K32" s="151"/>
      <c r="L32"/>
      <c r="M32"/>
      <c r="N32"/>
    </row>
    <row r="33" spans="1:14" x14ac:dyDescent="0.2">
      <c r="A33" s="26" t="str">
        <f>IF(D64-E64&lt;0,"- zunehmende Bestände","+ abnehmende Bestände")</f>
        <v>- zunehmende Bestände</v>
      </c>
      <c r="B33" s="17"/>
      <c r="C33" s="17"/>
      <c r="D33" s="17"/>
      <c r="E33" s="17"/>
      <c r="F33" s="22">
        <f>$D64-$E64</f>
        <v>-2463.7158100000006</v>
      </c>
      <c r="G33" s="8"/>
      <c r="H33" s="8"/>
      <c r="I33" s="13"/>
      <c r="J33" s="17"/>
      <c r="K33" s="23"/>
      <c r="L33"/>
      <c r="M33"/>
      <c r="N33"/>
    </row>
    <row r="34" spans="1:14" x14ac:dyDescent="0.2">
      <c r="A34" s="26" t="str">
        <f>IF(E72-D72&gt;0,"+ zunehmende Anzahlungen","- abnehmende Anzahlungen")</f>
        <v>- abnehmende Anzahlungen</v>
      </c>
      <c r="B34" s="17"/>
      <c r="C34" s="17"/>
      <c r="D34" s="17"/>
      <c r="E34" s="17"/>
      <c r="F34" s="22">
        <f>$E72-$D72</f>
        <v>0</v>
      </c>
      <c r="G34" s="8"/>
      <c r="H34" s="8"/>
      <c r="I34" s="13"/>
      <c r="J34" s="10" t="s">
        <v>16</v>
      </c>
      <c r="K34" s="23"/>
    </row>
    <row r="35" spans="1:14" x14ac:dyDescent="0.2">
      <c r="A35" s="26" t="str">
        <f>IF(E71-D71&lt;0,"- abnehmende Rückstellungen","+ zunehmende Rückstellungen")</f>
        <v>+ zunehmende Rückstellungen</v>
      </c>
      <c r="B35" s="17"/>
      <c r="C35" s="17"/>
      <c r="D35" s="17"/>
      <c r="E35" s="17"/>
      <c r="F35" s="22">
        <f>$E71-$D71</f>
        <v>2226.4398099999999</v>
      </c>
      <c r="G35" s="8"/>
      <c r="H35" s="8"/>
      <c r="I35" s="13"/>
      <c r="J35" s="30" t="s">
        <v>0</v>
      </c>
      <c r="K35" s="23"/>
    </row>
    <row r="36" spans="1:14" x14ac:dyDescent="0.2">
      <c r="A36" s="26" t="str">
        <f>IF(E73-D73&gt;0,"+ zunehmende Kreditoren","- abnehmende Kreditoren")</f>
        <v>+ zunehmende Kreditoren</v>
      </c>
      <c r="B36" s="17"/>
      <c r="C36" s="17"/>
      <c r="D36" s="17"/>
      <c r="E36" s="17"/>
      <c r="F36" s="22">
        <f>$E73-$D73</f>
        <v>794.55561999999918</v>
      </c>
      <c r="G36" s="8"/>
      <c r="H36" s="8"/>
      <c r="I36" s="13"/>
      <c r="J36" s="17"/>
      <c r="K36" s="23"/>
    </row>
    <row r="37" spans="1:14" x14ac:dyDescent="0.2">
      <c r="A37" s="14" t="s">
        <v>55</v>
      </c>
      <c r="B37" s="14"/>
      <c r="C37" s="14"/>
      <c r="D37" s="14"/>
      <c r="E37" s="14"/>
      <c r="F37" s="25">
        <f>SUM(F32:F36)</f>
        <v>-13935.5311</v>
      </c>
      <c r="G37" s="8"/>
      <c r="H37" s="8"/>
      <c r="I37" s="107" t="str">
        <f>D60</f>
        <v>Vorjahr</v>
      </c>
      <c r="J37" s="17"/>
      <c r="K37" s="108">
        <f>E60</f>
        <v>2007</v>
      </c>
    </row>
    <row r="38" spans="1:14" ht="13.5" thickBot="1" x14ac:dyDescent="0.25">
      <c r="A38" s="24" t="s">
        <v>7</v>
      </c>
      <c r="B38" s="14"/>
      <c r="C38" s="14"/>
      <c r="D38" s="14"/>
      <c r="E38" s="14"/>
      <c r="F38" s="25">
        <f>SUM(F30:F36)</f>
        <v>-11390.198700000001</v>
      </c>
      <c r="G38" s="8"/>
      <c r="H38" s="8"/>
      <c r="I38" s="104">
        <f>J71/J62</f>
        <v>1.8962336814740535E-2</v>
      </c>
      <c r="J38" s="36"/>
      <c r="K38" s="105">
        <f>K71/K62</f>
        <v>9.7419053856630348E-3</v>
      </c>
    </row>
    <row r="39" spans="1:14" x14ac:dyDescent="0.2">
      <c r="A39" s="13"/>
      <c r="B39" s="17"/>
      <c r="C39" s="17"/>
      <c r="D39" s="17"/>
      <c r="E39" s="17"/>
      <c r="F39" s="22"/>
      <c r="G39" s="8"/>
      <c r="H39" s="8"/>
      <c r="I39" s="8"/>
      <c r="J39" s="8"/>
      <c r="K39" s="8"/>
    </row>
    <row r="40" spans="1:14" ht="13.5" thickBot="1" x14ac:dyDescent="0.25">
      <c r="A40" s="13" t="s">
        <v>54</v>
      </c>
      <c r="B40" s="17"/>
      <c r="C40" s="17"/>
      <c r="D40" s="17"/>
      <c r="E40" s="17"/>
      <c r="F40" s="22">
        <f>-$E61+$D61-$K65</f>
        <v>1321.6424999999988</v>
      </c>
      <c r="G40" s="8"/>
      <c r="H40" s="8"/>
      <c r="I40" s="8"/>
      <c r="J40" s="8"/>
      <c r="K40" s="8"/>
    </row>
    <row r="41" spans="1:14" x14ac:dyDescent="0.2">
      <c r="A41" s="24" t="s">
        <v>8</v>
      </c>
      <c r="B41" s="14"/>
      <c r="C41" s="14"/>
      <c r="D41" s="14"/>
      <c r="E41" s="14"/>
      <c r="F41" s="25">
        <f>F38+F40</f>
        <v>-10068.556200000003</v>
      </c>
      <c r="G41" s="8"/>
      <c r="H41" s="8"/>
      <c r="I41" s="160" t="s">
        <v>47</v>
      </c>
      <c r="J41" s="161"/>
      <c r="K41" s="162"/>
    </row>
    <row r="42" spans="1:14" x14ac:dyDescent="0.2">
      <c r="A42" s="26"/>
      <c r="B42" s="17"/>
      <c r="C42" s="17"/>
      <c r="D42" s="17"/>
      <c r="E42" s="17"/>
      <c r="F42" s="22"/>
      <c r="G42" s="8"/>
      <c r="H42" s="8"/>
      <c r="I42" s="13"/>
      <c r="J42" s="17"/>
      <c r="K42" s="23"/>
    </row>
    <row r="43" spans="1:14" x14ac:dyDescent="0.2">
      <c r="A43" s="13" t="str">
        <f>IF(E68-D68&gt;0,"+ zunehmende Schulden (lafri)","- abnehmende Schulden (lafri)")</f>
        <v>+ zunehmende Schulden (lafri)</v>
      </c>
      <c r="B43" s="17"/>
      <c r="C43" s="17"/>
      <c r="D43" s="17"/>
      <c r="E43" s="17"/>
      <c r="F43" s="22">
        <f>$E69-$D69</f>
        <v>0</v>
      </c>
      <c r="G43" s="8"/>
      <c r="H43" s="8"/>
      <c r="I43" s="13"/>
      <c r="J43" s="10" t="s">
        <v>13</v>
      </c>
      <c r="K43" s="23"/>
    </row>
    <row r="44" spans="1:14" x14ac:dyDescent="0.2">
      <c r="A44" s="26" t="str">
        <f>IF(E73-D73&gt;0,"+ zunehmende Schulden (kufri)","- abnehmende Schulden (kufri)")</f>
        <v>+ zunehmende Schulden (kufri)</v>
      </c>
      <c r="B44" s="26"/>
      <c r="C44" s="17"/>
      <c r="D44" s="17"/>
      <c r="E44" s="17"/>
      <c r="F44" s="22">
        <f>$E74-$D74</f>
        <v>9958.9844299999986</v>
      </c>
      <c r="G44" s="8"/>
      <c r="H44" s="8"/>
      <c r="I44" s="13"/>
      <c r="J44" s="30" t="s">
        <v>18</v>
      </c>
      <c r="K44" s="23"/>
    </row>
    <row r="45" spans="1:14" x14ac:dyDescent="0.2">
      <c r="A45" s="26"/>
      <c r="B45" s="17"/>
      <c r="C45" s="17"/>
      <c r="D45" s="17"/>
      <c r="E45" s="17"/>
      <c r="F45" s="22"/>
      <c r="G45" s="8"/>
      <c r="H45" s="8"/>
      <c r="I45" s="13"/>
      <c r="J45" s="17"/>
      <c r="K45" s="23"/>
    </row>
    <row r="46" spans="1:14" x14ac:dyDescent="0.2">
      <c r="A46" s="14" t="s">
        <v>56</v>
      </c>
      <c r="B46" s="14"/>
      <c r="C46" s="14"/>
      <c r="D46" s="14"/>
      <c r="E46" s="14"/>
      <c r="F46" s="25">
        <f>SUM(F43:F45)</f>
        <v>9958.9844299999986</v>
      </c>
      <c r="G46" s="8"/>
      <c r="H46" s="8"/>
      <c r="I46" s="107" t="str">
        <f>D60</f>
        <v>Vorjahr</v>
      </c>
      <c r="J46" s="17"/>
      <c r="K46" s="108">
        <f>E60</f>
        <v>2007</v>
      </c>
    </row>
    <row r="47" spans="1:14" ht="13.5" thickBot="1" x14ac:dyDescent="0.25">
      <c r="A47" s="27" t="s">
        <v>10</v>
      </c>
      <c r="B47" s="28"/>
      <c r="C47" s="28"/>
      <c r="D47" s="28"/>
      <c r="E47" s="28"/>
      <c r="F47" s="29">
        <f>SUM(F41:F45)</f>
        <v>-109.57177000000411</v>
      </c>
      <c r="G47" s="8"/>
      <c r="H47" s="8"/>
      <c r="I47" s="104">
        <f>D67/D76</f>
        <v>0.34614035405050803</v>
      </c>
      <c r="J47" s="36"/>
      <c r="K47" s="105">
        <f>E67/E76</f>
        <v>0.26544822827065584</v>
      </c>
    </row>
    <row r="48" spans="1:14" x14ac:dyDescent="0.2">
      <c r="A48" s="17"/>
      <c r="B48" s="17"/>
      <c r="C48" s="17"/>
      <c r="D48" s="17"/>
      <c r="E48" s="17"/>
      <c r="F48" s="17"/>
      <c r="G48" s="8"/>
      <c r="H48" s="8"/>
      <c r="I48" s="8"/>
      <c r="J48" s="8"/>
      <c r="K48" s="8"/>
    </row>
    <row r="49" spans="1:13" ht="13.5" thickBot="1" x14ac:dyDescent="0.25">
      <c r="A49" s="17"/>
      <c r="B49" s="17"/>
      <c r="C49" s="17"/>
      <c r="D49" s="17"/>
      <c r="E49" s="17"/>
      <c r="F49" s="17"/>
      <c r="G49" s="8"/>
      <c r="H49" s="8"/>
      <c r="I49" s="8"/>
      <c r="J49" s="8"/>
      <c r="K49" s="8"/>
    </row>
    <row r="50" spans="1:13" x14ac:dyDescent="0.2">
      <c r="A50" s="149" t="s">
        <v>48</v>
      </c>
      <c r="B50" s="150"/>
      <c r="C50" s="151"/>
      <c r="D50" s="149" t="s">
        <v>49</v>
      </c>
      <c r="E50" s="158"/>
      <c r="F50" s="158"/>
      <c r="G50" s="158"/>
      <c r="H50" s="159"/>
      <c r="I50" s="39"/>
      <c r="J50" s="45" t="s">
        <v>50</v>
      </c>
      <c r="K50" s="33"/>
    </row>
    <row r="51" spans="1:13" x14ac:dyDescent="0.2">
      <c r="A51" s="13"/>
      <c r="B51" s="17"/>
      <c r="C51" s="23"/>
      <c r="D51" s="13"/>
      <c r="E51" s="17"/>
      <c r="F51" s="17"/>
      <c r="G51" s="17"/>
      <c r="H51" s="23"/>
      <c r="I51" s="42"/>
      <c r="J51" s="17"/>
      <c r="K51" s="23"/>
    </row>
    <row r="52" spans="1:13" x14ac:dyDescent="0.2">
      <c r="A52" s="40"/>
      <c r="B52" s="31" t="s">
        <v>23</v>
      </c>
      <c r="C52" s="44"/>
      <c r="D52" s="46"/>
      <c r="E52" s="31" t="s">
        <v>21</v>
      </c>
      <c r="F52" s="32"/>
      <c r="G52" s="17"/>
      <c r="H52" s="23"/>
      <c r="I52" s="34" t="s">
        <v>19</v>
      </c>
      <c r="J52" s="9"/>
      <c r="K52" s="35"/>
    </row>
    <row r="53" spans="1:13" x14ac:dyDescent="0.2">
      <c r="A53" s="13"/>
      <c r="B53" s="30" t="s">
        <v>9</v>
      </c>
      <c r="C53" s="23"/>
      <c r="D53" s="13"/>
      <c r="E53" s="30" t="s">
        <v>22</v>
      </c>
      <c r="F53" s="17"/>
      <c r="G53" s="17"/>
      <c r="H53" s="23"/>
      <c r="I53" s="13"/>
      <c r="J53" s="43" t="s">
        <v>20</v>
      </c>
      <c r="K53" s="23"/>
    </row>
    <row r="54" spans="1:13" x14ac:dyDescent="0.2">
      <c r="A54" s="13"/>
      <c r="B54" s="17"/>
      <c r="C54" s="23"/>
      <c r="D54" s="13"/>
      <c r="E54" s="17"/>
      <c r="F54" s="17"/>
      <c r="G54" s="17"/>
      <c r="H54" s="23"/>
      <c r="I54" s="42"/>
      <c r="J54" s="17"/>
      <c r="K54" s="23"/>
    </row>
    <row r="55" spans="1:13" x14ac:dyDescent="0.2">
      <c r="A55" s="107" t="str">
        <f>D60</f>
        <v>Vorjahr</v>
      </c>
      <c r="B55" s="17"/>
      <c r="C55" s="108">
        <f>E60</f>
        <v>2007</v>
      </c>
      <c r="D55" s="107" t="str">
        <f>D60</f>
        <v>Vorjahr</v>
      </c>
      <c r="E55" s="17"/>
      <c r="F55" s="109">
        <f>E60</f>
        <v>2007</v>
      </c>
      <c r="G55" s="17"/>
      <c r="H55" s="23"/>
      <c r="I55" s="107" t="str">
        <f>D60</f>
        <v>Vorjahr</v>
      </c>
      <c r="J55" s="17"/>
      <c r="K55" s="108">
        <f>E60</f>
        <v>2007</v>
      </c>
    </row>
    <row r="56" spans="1:13" ht="13.5" thickBot="1" x14ac:dyDescent="0.25">
      <c r="A56" s="77">
        <f>(D70+D75-D62)/J77</f>
        <v>9.3421085616180264</v>
      </c>
      <c r="B56" s="36"/>
      <c r="C56" s="63">
        <f>(E70+E75-E62)/F30</f>
        <v>16.677905168692316</v>
      </c>
      <c r="D56" s="104">
        <f>(D62+D63)/D75</f>
        <v>1.0632629102447286</v>
      </c>
      <c r="E56" s="36"/>
      <c r="F56" s="106">
        <f>(E62+E63)/E75</f>
        <v>1.0510354584126644</v>
      </c>
      <c r="G56" s="36"/>
      <c r="H56" s="38"/>
      <c r="I56" s="104">
        <f>(D67+D70)/D61</f>
        <v>1.411915235990802</v>
      </c>
      <c r="J56" s="36"/>
      <c r="K56" s="105">
        <f>(E67+E70)/E61</f>
        <v>1.7043656621899468</v>
      </c>
    </row>
    <row r="57" spans="1:13" x14ac:dyDescent="0.2">
      <c r="A57" s="4"/>
      <c r="B57" s="4"/>
      <c r="C57" s="4"/>
      <c r="D57" s="4"/>
      <c r="E57" s="4"/>
      <c r="F57" s="4"/>
    </row>
    <row r="59" spans="1:13" ht="13.5" thickBot="1" x14ac:dyDescent="0.25">
      <c r="A59" s="72" t="s">
        <v>36</v>
      </c>
      <c r="I59" s="148" t="s">
        <v>27</v>
      </c>
      <c r="J59" s="148"/>
      <c r="K59" s="148"/>
    </row>
    <row r="60" spans="1:13" ht="16.5" thickBot="1" x14ac:dyDescent="0.3">
      <c r="A60" s="79"/>
      <c r="B60" s="80"/>
      <c r="C60" s="81"/>
      <c r="D60" s="82" t="s">
        <v>59</v>
      </c>
      <c r="E60" s="83">
        <v>2007</v>
      </c>
      <c r="I60" s="15"/>
      <c r="J60" s="92" t="str">
        <f>D60</f>
        <v>Vorjahr</v>
      </c>
      <c r="K60" s="93">
        <f>E60</f>
        <v>2007</v>
      </c>
      <c r="M60" s="61"/>
    </row>
    <row r="61" spans="1:13" x14ac:dyDescent="0.2">
      <c r="A61" s="84" t="s">
        <v>28</v>
      </c>
      <c r="B61" s="85"/>
      <c r="C61" s="85"/>
      <c r="D61" s="86">
        <f>'Finanzbericht 2006'!E61</f>
        <v>16834.083869999999</v>
      </c>
      <c r="E61" s="87">
        <v>13914.91814</v>
      </c>
      <c r="I61" s="94" t="s">
        <v>0</v>
      </c>
      <c r="J61" s="95"/>
      <c r="K61" s="96"/>
    </row>
    <row r="62" spans="1:13" x14ac:dyDescent="0.2">
      <c r="A62" s="13" t="s">
        <v>12</v>
      </c>
      <c r="B62" s="17"/>
      <c r="C62" s="17"/>
      <c r="D62" s="88">
        <f>'Finanzbericht 2006'!E62</f>
        <v>1183.9199000000001</v>
      </c>
      <c r="E62" s="41">
        <v>74.348129999999998</v>
      </c>
      <c r="I62" s="97"/>
      <c r="J62" s="88">
        <f>'Finanzbericht 2006'!K62</f>
        <v>106092.82545999999</v>
      </c>
      <c r="K62" s="41">
        <v>98636.072920000006</v>
      </c>
    </row>
    <row r="63" spans="1:13" ht="13.5" thickBot="1" x14ac:dyDescent="0.25">
      <c r="A63" s="13" t="s">
        <v>43</v>
      </c>
      <c r="B63" s="17"/>
      <c r="C63" s="17"/>
      <c r="D63" s="88">
        <f>'Finanzbericht 2006'!E63</f>
        <v>21353.614949999999</v>
      </c>
      <c r="E63" s="88">
        <v>35846.425669999997</v>
      </c>
      <c r="I63" s="98"/>
      <c r="J63" s="88"/>
      <c r="K63" s="99"/>
    </row>
    <row r="64" spans="1:13" x14ac:dyDescent="0.2">
      <c r="A64" s="13" t="s">
        <v>29</v>
      </c>
      <c r="B64" s="17"/>
      <c r="C64" s="17"/>
      <c r="D64" s="88">
        <f>'Finanzbericht 2006'!E64</f>
        <v>5593.2584399999996</v>
      </c>
      <c r="E64" s="41">
        <v>8056.9742500000002</v>
      </c>
      <c r="I64" s="94" t="s">
        <v>5</v>
      </c>
      <c r="J64" s="95"/>
      <c r="K64" s="96"/>
    </row>
    <row r="65" spans="1:11" ht="13.5" thickBot="1" x14ac:dyDescent="0.25">
      <c r="A65" s="84" t="s">
        <v>30</v>
      </c>
      <c r="B65" s="85"/>
      <c r="C65" s="85"/>
      <c r="D65" s="86">
        <f>SUM(D62:D64)</f>
        <v>28130.793290000001</v>
      </c>
      <c r="E65" s="87">
        <f>SUM(E62:E64)</f>
        <v>43977.748049999995</v>
      </c>
      <c r="I65" s="97"/>
      <c r="J65" s="88">
        <f>'Finanzbericht 2006'!K65</f>
        <v>813.51418999999999</v>
      </c>
      <c r="K65" s="41">
        <v>1597.52323</v>
      </c>
    </row>
    <row r="66" spans="1:11" ht="16.5" thickBot="1" x14ac:dyDescent="0.3">
      <c r="A66" s="79" t="s">
        <v>31</v>
      </c>
      <c r="B66" s="80"/>
      <c r="C66" s="80"/>
      <c r="D66" s="89">
        <f>D61+D65</f>
        <v>44964.877160000004</v>
      </c>
      <c r="E66" s="90">
        <f>E61+E65</f>
        <v>57892.666189999996</v>
      </c>
      <c r="I66" s="98"/>
      <c r="J66" s="100"/>
      <c r="K66" s="99"/>
    </row>
    <row r="67" spans="1:11" x14ac:dyDescent="0.2">
      <c r="A67" s="84" t="s">
        <v>32</v>
      </c>
      <c r="B67" s="85"/>
      <c r="C67" s="85"/>
      <c r="D67" s="86">
        <f>'Finanzbericht 2006'!E67</f>
        <v>15564.1585</v>
      </c>
      <c r="E67" s="87">
        <v>15367.50567</v>
      </c>
      <c r="I67" s="94" t="s">
        <v>11</v>
      </c>
      <c r="J67" s="88"/>
      <c r="K67" s="96"/>
    </row>
    <row r="68" spans="1:11" x14ac:dyDescent="0.2">
      <c r="A68" s="13" t="s">
        <v>39</v>
      </c>
      <c r="B68" s="17"/>
      <c r="C68" s="17"/>
      <c r="D68" s="88">
        <f>'Finanzbericht 2006'!E68</f>
        <v>8204.1409999999996</v>
      </c>
      <c r="E68" s="41">
        <f>8348603/1000</f>
        <v>8348.6029999999992</v>
      </c>
      <c r="I68" s="97"/>
      <c r="J68" s="88">
        <f>'Finanzbericht 2006'!K68</f>
        <v>273.76614000000001</v>
      </c>
      <c r="K68" s="41">
        <f>344.67812-135.27967</f>
        <v>209.39844999999997</v>
      </c>
    </row>
    <row r="69" spans="1:11" ht="13.5" thickBot="1" x14ac:dyDescent="0.25">
      <c r="A69" s="13" t="s">
        <v>38</v>
      </c>
      <c r="B69" s="17"/>
      <c r="C69" s="17"/>
      <c r="D69" s="88">
        <f>'Finanzbericht 2006'!E69</f>
        <v>0</v>
      </c>
      <c r="E69" s="41">
        <v>0</v>
      </c>
      <c r="I69" s="97"/>
      <c r="J69" s="88"/>
      <c r="K69" s="41"/>
    </row>
    <row r="70" spans="1:11" x14ac:dyDescent="0.2">
      <c r="A70" s="84" t="s">
        <v>33</v>
      </c>
      <c r="B70" s="85"/>
      <c r="C70" s="85"/>
      <c r="D70" s="86">
        <f>SUM(D68:D69)</f>
        <v>8204.1409999999996</v>
      </c>
      <c r="E70" s="87">
        <f>SUM(E68:E69)</f>
        <v>8348.6029999999992</v>
      </c>
      <c r="I70" s="94" t="s">
        <v>16</v>
      </c>
      <c r="J70" s="95"/>
      <c r="K70" s="96"/>
    </row>
    <row r="71" spans="1:11" x14ac:dyDescent="0.2">
      <c r="A71" s="13" t="s">
        <v>42</v>
      </c>
      <c r="B71" s="17"/>
      <c r="C71" s="17"/>
      <c r="D71" s="88">
        <f>'Finanzbericht 2006'!E71</f>
        <v>15482.14474</v>
      </c>
      <c r="E71" s="41">
        <f>15383454.11/1000+2269.18588+33.94456+22</f>
        <v>17708.58455</v>
      </c>
      <c r="I71" s="97"/>
      <c r="J71" s="88">
        <f>'Finanzbericht 2006'!K71</f>
        <v>2011.7678899999999</v>
      </c>
      <c r="K71" s="41">
        <f>631.83156+329.07173</f>
        <v>960.90328999999997</v>
      </c>
    </row>
    <row r="72" spans="1:11" ht="13.5" thickBot="1" x14ac:dyDescent="0.25">
      <c r="A72" s="13" t="s">
        <v>37</v>
      </c>
      <c r="B72" s="17"/>
      <c r="C72" s="17"/>
      <c r="D72" s="88">
        <f>'Finanzbericht 2006'!E72</f>
        <v>0</v>
      </c>
      <c r="E72" s="41">
        <v>0</v>
      </c>
      <c r="I72" s="98"/>
      <c r="J72" s="100"/>
      <c r="K72" s="99"/>
    </row>
    <row r="73" spans="1:11" x14ac:dyDescent="0.2">
      <c r="A73" s="13" t="s">
        <v>41</v>
      </c>
      <c r="B73" s="17"/>
      <c r="C73" s="17"/>
      <c r="D73" s="88">
        <f>'Finanzbericht 2006'!E73</f>
        <v>5147.5405900000005</v>
      </c>
      <c r="E73" s="88">
        <f>5582.00259+360.09362</f>
        <v>5942.0962099999997</v>
      </c>
      <c r="I73" s="94" t="s">
        <v>4</v>
      </c>
      <c r="J73" s="88"/>
      <c r="K73" s="96"/>
    </row>
    <row r="74" spans="1:11" s="56" customFormat="1" x14ac:dyDescent="0.2">
      <c r="A74" s="13" t="s">
        <v>40</v>
      </c>
      <c r="B74" s="17"/>
      <c r="C74" s="17"/>
      <c r="D74" s="88">
        <f>'Finanzbericht 2006'!E74</f>
        <v>566.89233000000002</v>
      </c>
      <c r="E74" s="41">
        <f>10525876.76/1000</f>
        <v>10525.876759999999</v>
      </c>
      <c r="I74" s="97"/>
      <c r="J74" s="88">
        <f>'Finanzbericht 2006'!K74</f>
        <v>1667.56647</v>
      </c>
      <c r="K74" s="41">
        <v>803.34717000000001</v>
      </c>
    </row>
    <row r="75" spans="1:11" ht="13.5" thickBot="1" x14ac:dyDescent="0.25">
      <c r="A75" s="84" t="s">
        <v>34</v>
      </c>
      <c r="B75" s="85"/>
      <c r="C75" s="85"/>
      <c r="D75" s="86">
        <f>SUM(D71:D74)</f>
        <v>21196.577659999999</v>
      </c>
      <c r="E75" s="87">
        <f>SUM(E71:E74)</f>
        <v>34176.557520000002</v>
      </c>
      <c r="I75" s="101"/>
      <c r="J75" s="100"/>
      <c r="K75" s="99"/>
    </row>
    <row r="76" spans="1:11" ht="16.5" thickBot="1" x14ac:dyDescent="0.3">
      <c r="A76" s="79" t="s">
        <v>35</v>
      </c>
      <c r="B76" s="80"/>
      <c r="C76" s="80"/>
      <c r="D76" s="89">
        <f>D75+D70+D67</f>
        <v>44964.877159999996</v>
      </c>
      <c r="E76" s="90">
        <f>E75+E70+E67</f>
        <v>57892.666190000004</v>
      </c>
      <c r="I76" s="12" t="s">
        <v>9</v>
      </c>
      <c r="J76" s="102"/>
      <c r="K76" s="33"/>
    </row>
    <row r="77" spans="1:11" ht="13.5" thickBot="1" x14ac:dyDescent="0.25">
      <c r="A77" s="8"/>
      <c r="B77" s="8"/>
      <c r="C77" s="8"/>
      <c r="D77" s="8"/>
      <c r="E77" s="91" t="str">
        <f>IF(E76=E66, "i.O.", "Fehler!")</f>
        <v>i.O.</v>
      </c>
      <c r="I77" s="13"/>
      <c r="J77" s="112">
        <f>'Finanzbericht 2006'!K77</f>
        <v>3020.3886600000001</v>
      </c>
      <c r="K77" s="41">
        <f>F30</f>
        <v>2545.3323999999993</v>
      </c>
    </row>
    <row r="78" spans="1:11" ht="13.5" thickBot="1" x14ac:dyDescent="0.25">
      <c r="I78" s="101"/>
      <c r="J78" s="103"/>
      <c r="K78" s="38"/>
    </row>
    <row r="82" spans="1:6" x14ac:dyDescent="0.2">
      <c r="A82" s="17"/>
      <c r="B82" s="17"/>
      <c r="C82" s="17"/>
      <c r="D82" s="30"/>
      <c r="E82" s="30"/>
      <c r="F82" s="4"/>
    </row>
    <row r="83" spans="1:6" x14ac:dyDescent="0.2">
      <c r="A83" s="17"/>
      <c r="B83" s="17"/>
      <c r="C83" s="17"/>
      <c r="D83" s="30"/>
      <c r="E83" s="30"/>
      <c r="F83" s="4"/>
    </row>
    <row r="84" spans="1:6" x14ac:dyDescent="0.2">
      <c r="A84" s="4"/>
      <c r="B84" s="4"/>
      <c r="C84" s="4"/>
      <c r="D84" s="4"/>
      <c r="E84" s="4"/>
      <c r="F84" s="4"/>
    </row>
    <row r="90" spans="1:6" x14ac:dyDescent="0.2">
      <c r="A90" s="64"/>
      <c r="B90" s="4"/>
      <c r="C90" s="4"/>
    </row>
    <row r="91" spans="1:6" x14ac:dyDescent="0.2">
      <c r="A91" s="4"/>
      <c r="B91" s="4"/>
      <c r="C91" s="4"/>
    </row>
    <row r="92" spans="1:6" x14ac:dyDescent="0.2">
      <c r="A92" s="4"/>
      <c r="B92" s="68"/>
      <c r="C92" s="68"/>
    </row>
    <row r="93" spans="1:6" x14ac:dyDescent="0.2">
      <c r="A93" s="4"/>
      <c r="B93" s="4"/>
      <c r="C93" s="4"/>
    </row>
    <row r="94" spans="1:6" x14ac:dyDescent="0.2">
      <c r="A94" s="69"/>
      <c r="B94" s="4"/>
      <c r="C94" s="4"/>
    </row>
    <row r="95" spans="1:6" x14ac:dyDescent="0.2">
      <c r="A95" s="4"/>
      <c r="B95" s="4"/>
      <c r="C95" s="4"/>
    </row>
    <row r="96" spans="1:6" x14ac:dyDescent="0.2">
      <c r="A96" s="4"/>
      <c r="B96" s="67"/>
      <c r="C96" s="67"/>
    </row>
    <row r="97" spans="1:3" x14ac:dyDescent="0.2">
      <c r="A97" s="4"/>
      <c r="B97" s="68"/>
      <c r="C97" s="68"/>
    </row>
    <row r="98" spans="1:3" x14ac:dyDescent="0.2">
      <c r="A98" s="4"/>
      <c r="B98" s="4"/>
      <c r="C98" s="4"/>
    </row>
    <row r="99" spans="1:3" x14ac:dyDescent="0.2">
      <c r="A99" s="4"/>
      <c r="B99" s="4"/>
      <c r="C99" s="4"/>
    </row>
    <row r="100" spans="1:3" x14ac:dyDescent="0.2">
      <c r="A100" s="4"/>
      <c r="B100" s="4"/>
      <c r="C100" s="4"/>
    </row>
    <row r="101" spans="1:3" x14ac:dyDescent="0.2">
      <c r="A101" s="4"/>
      <c r="B101" s="4"/>
      <c r="C101" s="4"/>
    </row>
    <row r="102" spans="1:3" x14ac:dyDescent="0.2">
      <c r="A102" s="4"/>
      <c r="B102" s="4"/>
      <c r="C102" s="4"/>
    </row>
    <row r="103" spans="1:3" x14ac:dyDescent="0.2">
      <c r="A103" s="4"/>
      <c r="B103" s="4"/>
      <c r="C103" s="4"/>
    </row>
    <row r="104" spans="1:3" x14ac:dyDescent="0.2">
      <c r="A104" s="4"/>
      <c r="B104" s="68"/>
      <c r="C104" s="68"/>
    </row>
    <row r="105" spans="1:3" x14ac:dyDescent="0.2">
      <c r="A105" s="4"/>
      <c r="B105" s="67"/>
      <c r="C105" s="67"/>
    </row>
    <row r="106" spans="1:3" x14ac:dyDescent="0.2">
      <c r="A106" s="4"/>
      <c r="B106" s="4"/>
      <c r="C106" s="4"/>
    </row>
    <row r="107" spans="1:3" x14ac:dyDescent="0.2">
      <c r="A107" s="4"/>
      <c r="B107" s="4"/>
      <c r="C107" s="4"/>
    </row>
    <row r="108" spans="1:3" x14ac:dyDescent="0.2">
      <c r="A108" s="64"/>
      <c r="B108" s="4"/>
      <c r="C108" s="4"/>
    </row>
    <row r="109" spans="1:3" x14ac:dyDescent="0.2">
      <c r="A109" s="4"/>
      <c r="B109" s="4"/>
      <c r="C109" s="4"/>
    </row>
    <row r="110" spans="1:3" x14ac:dyDescent="0.2">
      <c r="A110" s="4"/>
      <c r="B110" s="68"/>
      <c r="C110" s="68"/>
    </row>
    <row r="111" spans="1:3" x14ac:dyDescent="0.2">
      <c r="A111" s="4"/>
      <c r="B111" s="67"/>
      <c r="C111" s="67"/>
    </row>
    <row r="112" spans="1:3" x14ac:dyDescent="0.2">
      <c r="A112" s="4"/>
      <c r="B112" s="4"/>
      <c r="C112" s="4"/>
    </row>
    <row r="113" spans="1:3" x14ac:dyDescent="0.2">
      <c r="A113" s="4"/>
      <c r="B113" s="4"/>
      <c r="C113" s="4"/>
    </row>
    <row r="114" spans="1:3" x14ac:dyDescent="0.2">
      <c r="A114" s="64"/>
      <c r="B114" s="4"/>
      <c r="C114" s="4"/>
    </row>
    <row r="115" spans="1:3" x14ac:dyDescent="0.2">
      <c r="A115" s="4"/>
      <c r="B115" s="4"/>
      <c r="C115" s="4"/>
    </row>
    <row r="116" spans="1:3" x14ac:dyDescent="0.2">
      <c r="A116" s="4"/>
      <c r="B116" s="68"/>
      <c r="C116" s="68"/>
    </row>
    <row r="117" spans="1:3" x14ac:dyDescent="0.2">
      <c r="A117" s="4"/>
      <c r="B117" s="67"/>
      <c r="C117" s="67"/>
    </row>
    <row r="118" spans="1:3" x14ac:dyDescent="0.2">
      <c r="A118" s="4"/>
      <c r="B118" s="4"/>
      <c r="C118" s="4"/>
    </row>
    <row r="119" spans="1:3" x14ac:dyDescent="0.2">
      <c r="A119" s="4"/>
      <c r="B119" s="4"/>
      <c r="C119" s="4"/>
    </row>
    <row r="120" spans="1:3" x14ac:dyDescent="0.2">
      <c r="A120" s="64"/>
      <c r="B120" s="4"/>
      <c r="C120" s="4"/>
    </row>
    <row r="121" spans="1:3" x14ac:dyDescent="0.2">
      <c r="A121" s="4"/>
      <c r="B121" s="4"/>
      <c r="C121" s="4"/>
    </row>
    <row r="122" spans="1:3" x14ac:dyDescent="0.2">
      <c r="A122" s="65"/>
      <c r="B122" s="66"/>
      <c r="C122" s="65"/>
    </row>
    <row r="123" spans="1:3" x14ac:dyDescent="0.2">
      <c r="A123" s="65"/>
      <c r="B123" s="66"/>
      <c r="C123" s="65"/>
    </row>
    <row r="124" spans="1:3" x14ac:dyDescent="0.2">
      <c r="A124" s="65"/>
      <c r="B124" s="65"/>
      <c r="C124" s="65"/>
    </row>
    <row r="125" spans="1:3" x14ac:dyDescent="0.2">
      <c r="A125" s="4"/>
      <c r="B125" s="4"/>
      <c r="C125" s="4"/>
    </row>
    <row r="126" spans="1:3" x14ac:dyDescent="0.2">
      <c r="A126" s="4"/>
      <c r="B126" s="4"/>
      <c r="C126" s="4"/>
    </row>
    <row r="127" spans="1:3" x14ac:dyDescent="0.2">
      <c r="A127" s="70"/>
      <c r="B127" s="71"/>
      <c r="C127" s="4"/>
    </row>
  </sheetData>
  <mergeCells count="10">
    <mergeCell ref="I41:K41"/>
    <mergeCell ref="A50:C50"/>
    <mergeCell ref="D50:H50"/>
    <mergeCell ref="I59:K59"/>
    <mergeCell ref="I5:K5"/>
    <mergeCell ref="I7:K7"/>
    <mergeCell ref="I8:K8"/>
    <mergeCell ref="I14:K14"/>
    <mergeCell ref="I23:K23"/>
    <mergeCell ref="I32:K32"/>
  </mergeCells>
  <printOptions horizontalCentered="1" gridLinesSet="0"/>
  <pageMargins left="0.78740157480314965" right="0.59055118110236227" top="0.78740157480314965" bottom="0.78740157480314965" header="0.51181102362204722" footer="0.51181102362204722"/>
  <pageSetup paperSize="9" scale="71" orientation="portrait" horizontalDpi="300" r:id="rId1"/>
  <headerFooter alignWithMargins="0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Q127"/>
  <sheetViews>
    <sheetView showGridLines="0" topLeftCell="A49" zoomScale="110" zoomScaleNormal="110" workbookViewId="0">
      <selection activeCell="K71" sqref="K71"/>
    </sheetView>
  </sheetViews>
  <sheetFormatPr baseColWidth="10" defaultRowHeight="12.75" x14ac:dyDescent="0.2"/>
  <cols>
    <col min="1" max="1" width="11.7109375" style="2" customWidth="1"/>
    <col min="2" max="2" width="8.28515625" style="2" customWidth="1"/>
    <col min="3" max="3" width="11.85546875" style="2" customWidth="1"/>
    <col min="4" max="4" width="11.42578125" style="2"/>
    <col min="5" max="5" width="10.42578125" style="2" customWidth="1"/>
    <col min="6" max="6" width="9.42578125" style="2" customWidth="1"/>
    <col min="7" max="7" width="1.28515625" style="2" customWidth="1"/>
    <col min="8" max="8" width="3.42578125" style="2" customWidth="1"/>
    <col min="9" max="9" width="8.7109375" style="2" customWidth="1"/>
    <col min="10" max="10" width="10.5703125" style="2" customWidth="1"/>
    <col min="11" max="11" width="9.42578125" style="2" customWidth="1"/>
    <col min="12" max="16384" width="11.42578125" style="2"/>
  </cols>
  <sheetData>
    <row r="1" spans="1:17" ht="20.25" x14ac:dyDescent="0.3">
      <c r="A1" s="55" t="s">
        <v>58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pans="1:17" s="1" customFormat="1" x14ac:dyDescent="0.2">
      <c r="A2" s="6"/>
      <c r="B2" s="7"/>
      <c r="C2" s="7"/>
      <c r="D2" s="7"/>
      <c r="E2" s="7"/>
      <c r="F2" s="7"/>
      <c r="G2" s="7"/>
      <c r="H2" s="7"/>
      <c r="I2" s="7"/>
      <c r="J2" s="7"/>
      <c r="K2" s="7"/>
    </row>
    <row r="3" spans="1:17" s="1" customFormat="1" x14ac:dyDescent="0.2">
      <c r="A3" s="6"/>
      <c r="B3" s="7"/>
      <c r="C3" s="7"/>
      <c r="D3" s="7"/>
      <c r="E3" s="7"/>
      <c r="F3" s="7"/>
      <c r="G3" s="7"/>
      <c r="H3" s="7"/>
      <c r="I3" s="7"/>
      <c r="J3" s="7"/>
      <c r="K3" s="7"/>
      <c r="L3" s="76" t="str">
        <f>IF(C20=F20,"i.O.","Fehler!")</f>
        <v>i.O.</v>
      </c>
    </row>
    <row r="4" spans="1:17" ht="13.5" thickBot="1" x14ac:dyDescent="0.25">
      <c r="A4" s="8"/>
      <c r="B4" s="8"/>
      <c r="C4" s="8"/>
      <c r="D4" s="8"/>
      <c r="E4" s="8"/>
      <c r="F4" s="8"/>
      <c r="G4" s="8"/>
      <c r="H4" s="8"/>
      <c r="I4" s="8"/>
      <c r="J4" s="8"/>
      <c r="K4" s="8"/>
    </row>
    <row r="5" spans="1:17" ht="15.75" x14ac:dyDescent="0.25">
      <c r="A5" s="47" t="s">
        <v>1</v>
      </c>
      <c r="B5" s="48"/>
      <c r="C5" s="48"/>
      <c r="D5" s="48"/>
      <c r="E5" s="48"/>
      <c r="F5" s="49"/>
      <c r="G5" s="8"/>
      <c r="H5" s="8"/>
      <c r="I5" s="149" t="s">
        <v>15</v>
      </c>
      <c r="J5" s="150"/>
      <c r="K5" s="151"/>
      <c r="N5" s="4"/>
      <c r="O5" s="64"/>
      <c r="P5" s="4"/>
      <c r="Q5" s="4"/>
    </row>
    <row r="6" spans="1:17" ht="15.75" x14ac:dyDescent="0.25">
      <c r="A6" s="50"/>
      <c r="B6" s="19"/>
      <c r="C6" s="19"/>
      <c r="D6" s="19"/>
      <c r="E6" s="19"/>
      <c r="F6" s="20"/>
      <c r="G6" s="8"/>
      <c r="H6" s="8"/>
      <c r="I6" s="110" t="s">
        <v>51</v>
      </c>
      <c r="J6" s="17"/>
      <c r="K6" s="23"/>
      <c r="N6" s="4"/>
      <c r="O6" s="4"/>
      <c r="P6" s="4"/>
      <c r="Q6" s="4"/>
    </row>
    <row r="7" spans="1:17" ht="13.5" thickBot="1" x14ac:dyDescent="0.25">
      <c r="A7" s="51" t="s">
        <v>2</v>
      </c>
      <c r="B7" s="19" t="s">
        <v>14</v>
      </c>
      <c r="C7" s="19"/>
      <c r="D7" s="52" t="s">
        <v>3</v>
      </c>
      <c r="E7" s="19" t="s">
        <v>14</v>
      </c>
      <c r="F7" s="20"/>
      <c r="G7" s="8"/>
      <c r="H7" s="8"/>
      <c r="I7" s="155" t="s">
        <v>16</v>
      </c>
      <c r="J7" s="156"/>
      <c r="K7" s="157"/>
      <c r="N7" s="4"/>
      <c r="O7" s="65"/>
      <c r="P7" s="65"/>
      <c r="Q7" s="65"/>
    </row>
    <row r="8" spans="1:17" x14ac:dyDescent="0.2">
      <c r="A8" s="12" t="s">
        <v>25</v>
      </c>
      <c r="B8" s="11"/>
      <c r="C8" s="11">
        <f>-F40</f>
        <v>4894.1771899999985</v>
      </c>
      <c r="D8" s="12" t="s">
        <v>26</v>
      </c>
      <c r="E8" s="11"/>
      <c r="F8" s="33">
        <f>F26</f>
        <v>1667.56647</v>
      </c>
      <c r="G8" s="8"/>
      <c r="H8" s="8"/>
      <c r="I8" s="152" t="s">
        <v>53</v>
      </c>
      <c r="J8" s="153"/>
      <c r="K8" s="154"/>
      <c r="N8" s="4"/>
      <c r="O8" s="65"/>
      <c r="P8" s="66"/>
      <c r="Q8" s="65"/>
    </row>
    <row r="9" spans="1:17" x14ac:dyDescent="0.2">
      <c r="A9" s="13" t="str">
        <f>IF(F32&lt;0,"Zunahme Debitoren","")</f>
        <v>Zunahme Debitoren</v>
      </c>
      <c r="B9" s="17"/>
      <c r="C9" s="17">
        <f>IF(F32&lt;0,-F32,"")</f>
        <v>4157.9872800000012</v>
      </c>
      <c r="D9" s="13" t="s">
        <v>5</v>
      </c>
      <c r="E9" s="17"/>
      <c r="F9" s="23">
        <f>F27</f>
        <v>813.51418999999999</v>
      </c>
      <c r="G9" s="8"/>
      <c r="H9" s="8"/>
      <c r="I9" s="13"/>
      <c r="J9" s="17"/>
      <c r="K9" s="23"/>
      <c r="N9" s="4"/>
      <c r="O9" s="65"/>
      <c r="P9" s="65"/>
      <c r="Q9" s="65"/>
    </row>
    <row r="10" spans="1:17" x14ac:dyDescent="0.2">
      <c r="A10" s="13" t="str">
        <f>IF(F33&lt;0,"Zunahme Bestände","")</f>
        <v/>
      </c>
      <c r="B10" s="17"/>
      <c r="C10" s="17" t="str">
        <f>IF(F33&lt;0,-F33,"")</f>
        <v/>
      </c>
      <c r="D10" s="34" t="s">
        <v>52</v>
      </c>
      <c r="E10" s="9"/>
      <c r="F10" s="35">
        <f>F28</f>
        <v>539.30799999999999</v>
      </c>
      <c r="G10" s="8"/>
      <c r="H10" s="8"/>
      <c r="I10" s="107" t="str">
        <f>I19</f>
        <v>Vorjahr</v>
      </c>
      <c r="J10" s="17"/>
      <c r="K10" s="108">
        <f>K19</f>
        <v>2006</v>
      </c>
      <c r="N10" s="4"/>
      <c r="O10" s="4"/>
      <c r="P10" s="4"/>
      <c r="Q10" s="4"/>
    </row>
    <row r="11" spans="1:17" ht="13.5" thickBot="1" x14ac:dyDescent="0.25">
      <c r="A11" s="13" t="str">
        <f>IF(F34&lt;0,"Abnahme Anzahlungen","")</f>
        <v/>
      </c>
      <c r="B11" s="17"/>
      <c r="C11" s="23" t="str">
        <f>IF(F34&lt;0,-F34,"")</f>
        <v/>
      </c>
      <c r="D11" s="57" t="s">
        <v>6</v>
      </c>
      <c r="E11" s="58"/>
      <c r="F11" s="23">
        <f>SUM(F8:F10)</f>
        <v>3020.3886600000001</v>
      </c>
      <c r="G11" s="8"/>
      <c r="H11" s="8"/>
      <c r="I11" s="104">
        <f>J71/D76</f>
        <v>7.1640125195547091E-2</v>
      </c>
      <c r="J11" s="36"/>
      <c r="K11" s="60">
        <f>K71/((E76))</f>
        <v>4.4740873701076961E-2</v>
      </c>
      <c r="N11" s="4"/>
      <c r="O11" s="65"/>
      <c r="P11" s="65"/>
      <c r="Q11" s="65"/>
    </row>
    <row r="12" spans="1:17" x14ac:dyDescent="0.2">
      <c r="A12" s="13" t="str">
        <f>IF(F35&lt;0,"Abn. Rückstellungen","")</f>
        <v/>
      </c>
      <c r="B12" s="17"/>
      <c r="C12" s="23" t="str">
        <f>IF(F35&lt;0,-F35,"")</f>
        <v/>
      </c>
      <c r="D12" s="13" t="str">
        <f>IF(F32&gt;0,"Abnahme Debitoren","")</f>
        <v/>
      </c>
      <c r="E12" s="17"/>
      <c r="F12" s="23" t="str">
        <f>IF(F32&gt;0,F32,"")</f>
        <v/>
      </c>
      <c r="G12" s="8"/>
      <c r="H12" s="8"/>
      <c r="I12" s="111" t="s">
        <v>57</v>
      </c>
      <c r="J12" s="8"/>
      <c r="K12" s="8"/>
      <c r="N12" s="4"/>
      <c r="O12" s="65"/>
      <c r="P12" s="65"/>
      <c r="Q12" s="65"/>
    </row>
    <row r="13" spans="1:17" ht="13.5" thickBot="1" x14ac:dyDescent="0.25">
      <c r="A13" s="13" t="str">
        <f>IF(F36&lt;0,"Abnahme Kreditoren","")</f>
        <v>Abnahme Kreditoren</v>
      </c>
      <c r="B13" s="17"/>
      <c r="C13" s="23">
        <f>IF(F36&lt;0,-F36,"")</f>
        <v>321.46400999999878</v>
      </c>
      <c r="D13" s="13" t="str">
        <f>IF(F33&gt;0,"Bestandsabbau","")</f>
        <v>Bestandsabbau</v>
      </c>
      <c r="E13" s="17"/>
      <c r="F13" s="23">
        <f>IF(F33&gt;0,F33,"")</f>
        <v>1470.2271800000008</v>
      </c>
      <c r="G13" s="8"/>
      <c r="H13" s="8"/>
      <c r="I13" s="8"/>
      <c r="J13" s="8"/>
      <c r="K13" s="8"/>
      <c r="N13" s="4"/>
      <c r="O13" s="4"/>
      <c r="P13" s="4"/>
      <c r="Q13" s="4"/>
    </row>
    <row r="14" spans="1:17" x14ac:dyDescent="0.2">
      <c r="A14" s="13" t="str">
        <f>IF(F47&gt;0,"Aufbau FlüMi","")</f>
        <v/>
      </c>
      <c r="B14" s="17"/>
      <c r="C14" s="23" t="str">
        <f>IF(F47&gt;0,F47,"")</f>
        <v/>
      </c>
      <c r="D14" s="13" t="str">
        <f>IF(F34&gt;0,"Zunahme Anzahlungen","")</f>
        <v/>
      </c>
      <c r="E14" s="17"/>
      <c r="F14" s="23" t="str">
        <f>IF(F34&gt;0,F34,"")</f>
        <v/>
      </c>
      <c r="G14" s="8"/>
      <c r="H14" s="8"/>
      <c r="I14" s="149" t="s">
        <v>46</v>
      </c>
      <c r="J14" s="150"/>
      <c r="K14" s="151"/>
      <c r="N14" s="4"/>
      <c r="O14" s="67"/>
      <c r="P14" s="67"/>
      <c r="Q14" s="67"/>
    </row>
    <row r="15" spans="1:17" x14ac:dyDescent="0.2">
      <c r="A15" s="13" t="str">
        <f>IF(F43&lt;0,"Abn. lafri Schulden","")</f>
        <v/>
      </c>
      <c r="B15" s="17"/>
      <c r="C15" s="23" t="str">
        <f>IF(F43&lt;0,-F43,"")</f>
        <v/>
      </c>
      <c r="D15" s="13" t="str">
        <f>IF(F35&gt;0,"Zunahme Rückstellungen","")</f>
        <v>Zunahme Rückstellungen</v>
      </c>
      <c r="E15" s="17"/>
      <c r="F15" s="23">
        <f>IF(F35&gt;0,F35,"")</f>
        <v>2370.9771300000084</v>
      </c>
      <c r="G15" s="8"/>
      <c r="H15" s="8"/>
      <c r="I15" s="13"/>
      <c r="J15" s="17"/>
      <c r="K15" s="23"/>
      <c r="N15" s="4"/>
      <c r="O15" s="67"/>
      <c r="P15" s="67"/>
      <c r="Q15" s="67"/>
    </row>
    <row r="16" spans="1:17" x14ac:dyDescent="0.2">
      <c r="A16" s="13" t="str">
        <f>IF(F44&lt;0,"Abn. kufri Schulden","")</f>
        <v>Abn. kufri Schulden</v>
      </c>
      <c r="B16" s="17"/>
      <c r="C16" s="23">
        <f>IF(F44&lt;0,-F44,"")</f>
        <v>1791.83016</v>
      </c>
      <c r="D16" s="13" t="str">
        <f>IF(F36&gt;0,"Zunahme Kreditoren","")</f>
        <v/>
      </c>
      <c r="E16" s="17"/>
      <c r="F16" s="23" t="str">
        <f>IF(F36&gt;0,F36,"")</f>
        <v/>
      </c>
      <c r="G16" s="8"/>
      <c r="H16" s="8"/>
      <c r="I16" s="13"/>
      <c r="J16" s="37" t="s">
        <v>9</v>
      </c>
      <c r="K16" s="23"/>
    </row>
    <row r="17" spans="1:14" x14ac:dyDescent="0.2">
      <c r="A17" s="13"/>
      <c r="B17" s="17"/>
      <c r="C17" s="17"/>
      <c r="D17" s="13" t="str">
        <f>IF(F47&lt;0,"Abbau FlüMi","")</f>
        <v>Abbau FlüMi</v>
      </c>
      <c r="E17" s="17"/>
      <c r="F17" s="23">
        <f>IF(F47&lt;0,-F47,"")</f>
        <v>4303.8656699999892</v>
      </c>
      <c r="G17" s="8"/>
      <c r="H17" s="8"/>
      <c r="I17" s="13"/>
      <c r="J17" s="30" t="s">
        <v>0</v>
      </c>
      <c r="K17" s="23"/>
    </row>
    <row r="18" spans="1:14" x14ac:dyDescent="0.2">
      <c r="A18" s="13"/>
      <c r="B18" s="17"/>
      <c r="C18" s="17"/>
      <c r="D18" s="13" t="str">
        <f>IF(F43&gt;0,"Zunahme lafri Schulden","")</f>
        <v/>
      </c>
      <c r="E18" s="17"/>
      <c r="F18" s="23" t="str">
        <f>IF(F43&gt;0,F43,"")</f>
        <v/>
      </c>
      <c r="G18" s="8"/>
      <c r="H18" s="8"/>
      <c r="I18" s="13"/>
      <c r="J18" s="17"/>
      <c r="K18" s="23"/>
    </row>
    <row r="19" spans="1:14" ht="13.5" thickBot="1" x14ac:dyDescent="0.25">
      <c r="A19" s="13"/>
      <c r="B19" s="17"/>
      <c r="C19" s="59"/>
      <c r="D19" s="13" t="str">
        <f>IF(F44&gt;0,"Zunahme kufri Schulden","")</f>
        <v/>
      </c>
      <c r="E19" s="17"/>
      <c r="F19" s="59" t="str">
        <f>IF(F44&gt;0,F44,"")</f>
        <v/>
      </c>
      <c r="G19" s="8"/>
      <c r="H19" s="8"/>
      <c r="I19" s="107" t="str">
        <f>I37</f>
        <v>Vorjahr</v>
      </c>
      <c r="J19" s="17"/>
      <c r="K19" s="108">
        <f>K37</f>
        <v>2006</v>
      </c>
    </row>
    <row r="20" spans="1:14" ht="14.25" thickTop="1" thickBot="1" x14ac:dyDescent="0.25">
      <c r="A20" s="73"/>
      <c r="B20" s="74"/>
      <c r="C20" s="74">
        <f>SUM(C8:C19)</f>
        <v>11165.458639999999</v>
      </c>
      <c r="D20" s="73"/>
      <c r="E20" s="74"/>
      <c r="F20" s="75">
        <f>SUM(F11:F19)</f>
        <v>11165.458639999997</v>
      </c>
      <c r="G20" s="8"/>
      <c r="H20" s="8"/>
      <c r="I20" s="104">
        <f>J77/J62</f>
        <v>4.4741482766438079E-2</v>
      </c>
      <c r="J20" s="36"/>
      <c r="K20" s="105">
        <f>F30/K62</f>
        <v>2.8469301735570916E-2</v>
      </c>
    </row>
    <row r="21" spans="1:14" x14ac:dyDescent="0.2">
      <c r="B21" s="8"/>
      <c r="C21" s="8"/>
      <c r="D21" s="8"/>
      <c r="E21" s="8"/>
      <c r="F21" s="8"/>
      <c r="G21" s="8"/>
      <c r="H21" s="8"/>
      <c r="I21" s="8"/>
      <c r="J21" s="8"/>
      <c r="K21" s="8"/>
    </row>
    <row r="22" spans="1:14" ht="13.5" thickBot="1" x14ac:dyDescent="0.25">
      <c r="B22" s="8"/>
      <c r="C22" s="8"/>
      <c r="D22" s="8"/>
      <c r="E22" s="8"/>
      <c r="F22" s="8"/>
      <c r="G22" s="8"/>
      <c r="H22" s="8"/>
      <c r="I22" s="8"/>
      <c r="J22" s="8"/>
      <c r="K22" s="8"/>
    </row>
    <row r="23" spans="1:14" ht="16.5" thickBot="1" x14ac:dyDescent="0.3">
      <c r="A23" s="53" t="s">
        <v>24</v>
      </c>
      <c r="B23" s="3"/>
      <c r="C23" s="3"/>
      <c r="D23" s="3"/>
      <c r="E23" s="3"/>
      <c r="F23" s="54"/>
      <c r="G23" s="8"/>
      <c r="H23" s="8"/>
      <c r="I23" s="149" t="s">
        <v>45</v>
      </c>
      <c r="J23" s="150"/>
      <c r="K23" s="151"/>
    </row>
    <row r="24" spans="1:14" ht="13.5" thickBot="1" x14ac:dyDescent="0.25">
      <c r="A24" s="15"/>
      <c r="B24" s="16"/>
      <c r="C24" s="16"/>
      <c r="D24" s="16"/>
      <c r="E24" s="16"/>
      <c r="F24" s="78">
        <f>E60</f>
        <v>2006</v>
      </c>
      <c r="G24" s="8"/>
      <c r="H24" s="8"/>
      <c r="I24" s="13"/>
      <c r="J24" s="17"/>
      <c r="K24" s="23"/>
    </row>
    <row r="25" spans="1:14" x14ac:dyDescent="0.2">
      <c r="A25" s="13"/>
      <c r="B25" s="17"/>
      <c r="C25" s="17"/>
      <c r="D25" s="17"/>
      <c r="E25" s="17"/>
      <c r="F25" s="18"/>
      <c r="G25" s="8"/>
      <c r="H25" s="8"/>
      <c r="I25" s="13"/>
      <c r="J25" s="21" t="s">
        <v>16</v>
      </c>
      <c r="K25" s="23"/>
      <c r="M25" s="62"/>
    </row>
    <row r="26" spans="1:14" x14ac:dyDescent="0.2">
      <c r="A26" s="13" t="s">
        <v>26</v>
      </c>
      <c r="B26" s="17"/>
      <c r="C26" s="17"/>
      <c r="D26" s="17"/>
      <c r="E26" s="17"/>
      <c r="F26" s="22">
        <f>$K74</f>
        <v>1667.56647</v>
      </c>
      <c r="G26" s="8"/>
      <c r="H26" s="8"/>
      <c r="I26" s="13"/>
      <c r="J26" s="30" t="s">
        <v>11</v>
      </c>
      <c r="K26" s="23"/>
    </row>
    <row r="27" spans="1:14" x14ac:dyDescent="0.2">
      <c r="A27" s="13" t="s">
        <v>5</v>
      </c>
      <c r="B27" s="17"/>
      <c r="C27" s="17"/>
      <c r="D27" s="17"/>
      <c r="E27" s="17"/>
      <c r="F27" s="22">
        <f>$K65</f>
        <v>813.51418999999999</v>
      </c>
      <c r="G27" s="8"/>
      <c r="H27" s="8"/>
      <c r="I27" s="13"/>
      <c r="J27" s="17"/>
      <c r="K27" s="23"/>
    </row>
    <row r="28" spans="1:14" x14ac:dyDescent="0.2">
      <c r="A28" s="13" t="s">
        <v>44</v>
      </c>
      <c r="B28" s="17"/>
      <c r="C28" s="17"/>
      <c r="D28" s="17"/>
      <c r="E28" s="17"/>
      <c r="F28" s="22">
        <f>$E68-$D68</f>
        <v>539.30799999999999</v>
      </c>
      <c r="G28" s="8"/>
      <c r="H28" s="8"/>
      <c r="I28" s="107" t="str">
        <f>I37</f>
        <v>Vorjahr</v>
      </c>
      <c r="J28" s="17"/>
      <c r="K28" s="108">
        <f>K46</f>
        <v>2006</v>
      </c>
    </row>
    <row r="29" spans="1:14" ht="13.5" thickBot="1" x14ac:dyDescent="0.25">
      <c r="A29" s="13"/>
      <c r="B29" s="17"/>
      <c r="C29" s="17"/>
      <c r="D29" s="17"/>
      <c r="E29" s="17"/>
      <c r="F29" s="22"/>
      <c r="G29" s="8"/>
      <c r="H29" s="8"/>
      <c r="I29" s="77">
        <f>J71/J68</f>
        <v>5.8096206022104351</v>
      </c>
      <c r="J29" s="36"/>
      <c r="K29" s="63">
        <f>K71/K68</f>
        <v>7.348490540137651</v>
      </c>
    </row>
    <row r="30" spans="1:14" x14ac:dyDescent="0.2">
      <c r="A30" s="24" t="s">
        <v>6</v>
      </c>
      <c r="B30" s="14"/>
      <c r="C30" s="14"/>
      <c r="D30" s="14"/>
      <c r="E30" s="14"/>
      <c r="F30" s="25">
        <f>SUM(F26:F28)</f>
        <v>3020.3886600000001</v>
      </c>
      <c r="G30" s="8"/>
      <c r="H30" s="8"/>
      <c r="I30" s="8"/>
      <c r="J30" s="8"/>
      <c r="K30" s="8"/>
    </row>
    <row r="31" spans="1:14" ht="13.5" thickBot="1" x14ac:dyDescent="0.25">
      <c r="A31" s="13"/>
      <c r="B31" s="17"/>
      <c r="C31" s="17"/>
      <c r="D31" s="17"/>
      <c r="E31" s="17"/>
      <c r="F31" s="22"/>
      <c r="G31" s="8"/>
      <c r="H31" s="8"/>
      <c r="I31" s="8"/>
      <c r="J31" s="8"/>
      <c r="K31" s="8"/>
    </row>
    <row r="32" spans="1:14" x14ac:dyDescent="0.2">
      <c r="A32" s="26" t="str">
        <f>IF(D63-E63&lt;0,"- zunehmende Debitoren","+ abnehmende Debitoren")</f>
        <v>- zunehmende Debitoren</v>
      </c>
      <c r="B32" s="17"/>
      <c r="C32" s="17"/>
      <c r="D32" s="17"/>
      <c r="E32" s="17"/>
      <c r="F32" s="22">
        <f>$D63-$E63</f>
        <v>-4157.9872800000012</v>
      </c>
      <c r="G32" s="8"/>
      <c r="H32" s="8"/>
      <c r="I32" s="149" t="s">
        <v>17</v>
      </c>
      <c r="J32" s="150"/>
      <c r="K32" s="151"/>
      <c r="L32"/>
      <c r="M32"/>
      <c r="N32"/>
    </row>
    <row r="33" spans="1:14" x14ac:dyDescent="0.2">
      <c r="A33" s="26" t="str">
        <f>IF(D64-E64&lt;0,"- zunehmende Bestände","+ abnehmende Bestände")</f>
        <v>+ abnehmende Bestände</v>
      </c>
      <c r="B33" s="17"/>
      <c r="C33" s="17"/>
      <c r="D33" s="17"/>
      <c r="E33" s="17"/>
      <c r="F33" s="22">
        <f>$D64-$E64</f>
        <v>1470.2271800000008</v>
      </c>
      <c r="G33" s="8"/>
      <c r="H33" s="8"/>
      <c r="I33" s="13"/>
      <c r="J33" s="17"/>
      <c r="K33" s="23"/>
      <c r="L33"/>
      <c r="M33"/>
      <c r="N33"/>
    </row>
    <row r="34" spans="1:14" x14ac:dyDescent="0.2">
      <c r="A34" s="26" t="str">
        <f>IF(E72-D72&gt;0,"+ zunehmende Anzahlungen","- abnehmende Anzahlungen")</f>
        <v>- abnehmende Anzahlungen</v>
      </c>
      <c r="B34" s="17"/>
      <c r="C34" s="17"/>
      <c r="D34" s="17"/>
      <c r="E34" s="17"/>
      <c r="F34" s="22">
        <f>$E72-$D72</f>
        <v>0</v>
      </c>
      <c r="G34" s="8"/>
      <c r="H34" s="8"/>
      <c r="I34" s="13"/>
      <c r="J34" s="10" t="s">
        <v>16</v>
      </c>
      <c r="K34" s="23"/>
    </row>
    <row r="35" spans="1:14" x14ac:dyDescent="0.2">
      <c r="A35" s="26" t="str">
        <f>IF(E71-D71&lt;0,"- abnehmende Rückstellungen","+ zunehmende Rückstellungen")</f>
        <v>+ zunehmende Rückstellungen</v>
      </c>
      <c r="B35" s="17"/>
      <c r="C35" s="17"/>
      <c r="D35" s="17"/>
      <c r="E35" s="17"/>
      <c r="F35" s="22">
        <f>$E71-$D71</f>
        <v>2370.9771300000084</v>
      </c>
      <c r="G35" s="8"/>
      <c r="H35" s="8"/>
      <c r="I35" s="13"/>
      <c r="J35" s="30" t="s">
        <v>0</v>
      </c>
      <c r="K35" s="23"/>
    </row>
    <row r="36" spans="1:14" x14ac:dyDescent="0.2">
      <c r="A36" s="26" t="str">
        <f>IF(E73-D73&gt;0,"+ zunehmende Kreditoren","- abnehmende Kreditoren")</f>
        <v>- abnehmende Kreditoren</v>
      </c>
      <c r="B36" s="17"/>
      <c r="C36" s="17"/>
      <c r="D36" s="17"/>
      <c r="E36" s="17"/>
      <c r="F36" s="22">
        <f>$E73-$D73</f>
        <v>-321.46400999999878</v>
      </c>
      <c r="G36" s="8"/>
      <c r="H36" s="8"/>
      <c r="I36" s="13"/>
      <c r="J36" s="17"/>
      <c r="K36" s="23"/>
    </row>
    <row r="37" spans="1:14" x14ac:dyDescent="0.2">
      <c r="A37" s="14" t="s">
        <v>55</v>
      </c>
      <c r="B37" s="14"/>
      <c r="C37" s="14"/>
      <c r="D37" s="14"/>
      <c r="E37" s="14"/>
      <c r="F37" s="25">
        <f>SUM(F32:F36)</f>
        <v>-638.2469799999908</v>
      </c>
      <c r="G37" s="8"/>
      <c r="H37" s="8"/>
      <c r="I37" s="107" t="str">
        <f>D60</f>
        <v>Vorjahr</v>
      </c>
      <c r="J37" s="17"/>
      <c r="K37" s="108">
        <f>E60</f>
        <v>2006</v>
      </c>
    </row>
    <row r="38" spans="1:14" ht="13.5" thickBot="1" x14ac:dyDescent="0.25">
      <c r="A38" s="24" t="s">
        <v>7</v>
      </c>
      <c r="B38" s="14"/>
      <c r="C38" s="14"/>
      <c r="D38" s="14"/>
      <c r="E38" s="14"/>
      <c r="F38" s="25">
        <f>SUM(F30:F36)</f>
        <v>2382.1416800000093</v>
      </c>
      <c r="G38" s="8"/>
      <c r="H38" s="8"/>
      <c r="I38" s="104">
        <f>J71/J62</f>
        <v>2.5843276803884593E-2</v>
      </c>
      <c r="J38" s="36"/>
      <c r="K38" s="105">
        <f>K71/K62</f>
        <v>1.8962336814740535E-2</v>
      </c>
    </row>
    <row r="39" spans="1:14" x14ac:dyDescent="0.2">
      <c r="A39" s="13"/>
      <c r="B39" s="17"/>
      <c r="C39" s="17"/>
      <c r="D39" s="17"/>
      <c r="E39" s="17"/>
      <c r="F39" s="22"/>
      <c r="G39" s="8"/>
      <c r="H39" s="8"/>
      <c r="I39" s="8"/>
      <c r="J39" s="8"/>
      <c r="K39" s="8"/>
    </row>
    <row r="40" spans="1:14" ht="13.5" thickBot="1" x14ac:dyDescent="0.25">
      <c r="A40" s="13" t="s">
        <v>54</v>
      </c>
      <c r="B40" s="17"/>
      <c r="C40" s="17"/>
      <c r="D40" s="17"/>
      <c r="E40" s="17"/>
      <c r="F40" s="22">
        <f>-$E61+$D61-$K65</f>
        <v>-4894.1771899999985</v>
      </c>
      <c r="G40" s="8"/>
      <c r="H40" s="8"/>
      <c r="I40" s="8"/>
      <c r="J40" s="8"/>
      <c r="K40" s="8"/>
    </row>
    <row r="41" spans="1:14" x14ac:dyDescent="0.2">
      <c r="A41" s="24" t="s">
        <v>8</v>
      </c>
      <c r="B41" s="14"/>
      <c r="C41" s="14"/>
      <c r="D41" s="14"/>
      <c r="E41" s="14"/>
      <c r="F41" s="25">
        <f>F38+F40</f>
        <v>-2512.0355099999892</v>
      </c>
      <c r="G41" s="8"/>
      <c r="H41" s="8"/>
      <c r="I41" s="160" t="s">
        <v>47</v>
      </c>
      <c r="J41" s="161"/>
      <c r="K41" s="162"/>
    </row>
    <row r="42" spans="1:14" x14ac:dyDescent="0.2">
      <c r="A42" s="26"/>
      <c r="B42" s="17"/>
      <c r="C42" s="17"/>
      <c r="D42" s="17"/>
      <c r="E42" s="17"/>
      <c r="F42" s="22"/>
      <c r="G42" s="8"/>
      <c r="H42" s="8"/>
      <c r="I42" s="13"/>
      <c r="J42" s="17"/>
      <c r="K42" s="23"/>
    </row>
    <row r="43" spans="1:14" x14ac:dyDescent="0.2">
      <c r="A43" s="13" t="str">
        <f>IF(E68-D68&gt;0,"+ zunehmende Schulden (lafri)","- abnehmende Schulden (lafri)")</f>
        <v>+ zunehmende Schulden (lafri)</v>
      </c>
      <c r="B43" s="17"/>
      <c r="C43" s="17"/>
      <c r="D43" s="17"/>
      <c r="E43" s="17"/>
      <c r="F43" s="22">
        <f>$E69-$D69</f>
        <v>0</v>
      </c>
      <c r="G43" s="8"/>
      <c r="H43" s="8"/>
      <c r="I43" s="13"/>
      <c r="J43" s="10" t="s">
        <v>13</v>
      </c>
      <c r="K43" s="23"/>
    </row>
    <row r="44" spans="1:14" x14ac:dyDescent="0.2">
      <c r="A44" s="26" t="str">
        <f>IF(E73-D73&gt;0,"+ zunehmende Schulden (kufri)","- abnehmende Schulden (kufri)")</f>
        <v>- abnehmende Schulden (kufri)</v>
      </c>
      <c r="B44" s="26"/>
      <c r="C44" s="17"/>
      <c r="D44" s="17"/>
      <c r="E44" s="17"/>
      <c r="F44" s="22">
        <f>$E74-$D74</f>
        <v>-1791.83016</v>
      </c>
      <c r="G44" s="8"/>
      <c r="H44" s="8"/>
      <c r="I44" s="13"/>
      <c r="J44" s="30" t="s">
        <v>18</v>
      </c>
      <c r="K44" s="23"/>
    </row>
    <row r="45" spans="1:14" x14ac:dyDescent="0.2">
      <c r="A45" s="26"/>
      <c r="B45" s="17"/>
      <c r="C45" s="17"/>
      <c r="D45" s="17"/>
      <c r="E45" s="17"/>
      <c r="F45" s="22"/>
      <c r="G45" s="8"/>
      <c r="H45" s="8"/>
      <c r="I45" s="13"/>
      <c r="J45" s="17"/>
      <c r="K45" s="23"/>
    </row>
    <row r="46" spans="1:14" x14ac:dyDescent="0.2">
      <c r="A46" s="14" t="s">
        <v>56</v>
      </c>
      <c r="B46" s="14"/>
      <c r="C46" s="14"/>
      <c r="D46" s="14"/>
      <c r="E46" s="14"/>
      <c r="F46" s="25">
        <f>SUM(F43:F45)</f>
        <v>-1791.83016</v>
      </c>
      <c r="G46" s="8"/>
      <c r="H46" s="8"/>
      <c r="I46" s="107" t="str">
        <f>D60</f>
        <v>Vorjahr</v>
      </c>
      <c r="J46" s="17"/>
      <c r="K46" s="108">
        <f>E60</f>
        <v>2006</v>
      </c>
    </row>
    <row r="47" spans="1:14" ht="13.5" thickBot="1" x14ac:dyDescent="0.25">
      <c r="A47" s="27" t="s">
        <v>10</v>
      </c>
      <c r="B47" s="28"/>
      <c r="C47" s="28"/>
      <c r="D47" s="28"/>
      <c r="E47" s="28"/>
      <c r="F47" s="29">
        <f>SUM(F41:F45)</f>
        <v>-4303.8656699999892</v>
      </c>
      <c r="G47" s="8"/>
      <c r="H47" s="8"/>
      <c r="I47" s="104">
        <f>D67/D76</f>
        <v>0.24855163667921881</v>
      </c>
      <c r="J47" s="36"/>
      <c r="K47" s="105">
        <f>E67/E76</f>
        <v>0.34614035405050803</v>
      </c>
    </row>
    <row r="48" spans="1:14" x14ac:dyDescent="0.2">
      <c r="A48" s="17"/>
      <c r="B48" s="17"/>
      <c r="C48" s="17"/>
      <c r="D48" s="17"/>
      <c r="E48" s="17"/>
      <c r="F48" s="17"/>
      <c r="G48" s="8"/>
      <c r="H48" s="8"/>
      <c r="I48" s="8"/>
      <c r="J48" s="8"/>
      <c r="K48" s="8"/>
    </row>
    <row r="49" spans="1:13" ht="13.5" thickBot="1" x14ac:dyDescent="0.25">
      <c r="A49" s="17"/>
      <c r="B49" s="17"/>
      <c r="C49" s="17"/>
      <c r="D49" s="17"/>
      <c r="E49" s="17"/>
      <c r="F49" s="17"/>
      <c r="G49" s="8"/>
      <c r="H49" s="8"/>
      <c r="I49" s="8"/>
      <c r="J49" s="8"/>
      <c r="K49" s="8"/>
    </row>
    <row r="50" spans="1:13" x14ac:dyDescent="0.2">
      <c r="A50" s="149" t="s">
        <v>48</v>
      </c>
      <c r="B50" s="150"/>
      <c r="C50" s="151"/>
      <c r="D50" s="149" t="s">
        <v>49</v>
      </c>
      <c r="E50" s="158"/>
      <c r="F50" s="158"/>
      <c r="G50" s="158"/>
      <c r="H50" s="159"/>
      <c r="I50" s="39"/>
      <c r="J50" s="45" t="s">
        <v>50</v>
      </c>
      <c r="K50" s="33"/>
    </row>
    <row r="51" spans="1:13" x14ac:dyDescent="0.2">
      <c r="A51" s="13"/>
      <c r="B51" s="17"/>
      <c r="C51" s="23"/>
      <c r="D51" s="13"/>
      <c r="E51" s="17"/>
      <c r="F51" s="17"/>
      <c r="G51" s="17"/>
      <c r="H51" s="23"/>
      <c r="I51" s="42"/>
      <c r="J51" s="17"/>
      <c r="K51" s="23"/>
    </row>
    <row r="52" spans="1:13" x14ac:dyDescent="0.2">
      <c r="A52" s="40"/>
      <c r="B52" s="31" t="s">
        <v>23</v>
      </c>
      <c r="C52" s="44"/>
      <c r="D52" s="46"/>
      <c r="E52" s="31" t="s">
        <v>21</v>
      </c>
      <c r="F52" s="32"/>
      <c r="G52" s="17"/>
      <c r="H52" s="23"/>
      <c r="I52" s="34" t="s">
        <v>19</v>
      </c>
      <c r="J52" s="9"/>
      <c r="K52" s="35"/>
    </row>
    <row r="53" spans="1:13" x14ac:dyDescent="0.2">
      <c r="A53" s="13"/>
      <c r="B53" s="30" t="s">
        <v>9</v>
      </c>
      <c r="C53" s="23"/>
      <c r="D53" s="13"/>
      <c r="E53" s="30" t="s">
        <v>22</v>
      </c>
      <c r="F53" s="17"/>
      <c r="G53" s="17"/>
      <c r="H53" s="23"/>
      <c r="I53" s="13"/>
      <c r="J53" s="43" t="s">
        <v>20</v>
      </c>
      <c r="K53" s="23"/>
    </row>
    <row r="54" spans="1:13" x14ac:dyDescent="0.2">
      <c r="A54" s="13"/>
      <c r="B54" s="17"/>
      <c r="C54" s="23"/>
      <c r="D54" s="13"/>
      <c r="E54" s="17"/>
      <c r="F54" s="17"/>
      <c r="G54" s="17"/>
      <c r="H54" s="23"/>
      <c r="I54" s="42"/>
      <c r="J54" s="17"/>
      <c r="K54" s="23"/>
    </row>
    <row r="55" spans="1:13" x14ac:dyDescent="0.2">
      <c r="A55" s="107" t="str">
        <f>D60</f>
        <v>Vorjahr</v>
      </c>
      <c r="B55" s="17"/>
      <c r="C55" s="108">
        <f>E60</f>
        <v>2006</v>
      </c>
      <c r="D55" s="107" t="str">
        <f>D60</f>
        <v>Vorjahr</v>
      </c>
      <c r="E55" s="17"/>
      <c r="F55" s="109">
        <f>E60</f>
        <v>2006</v>
      </c>
      <c r="G55" s="17"/>
      <c r="H55" s="23"/>
      <c r="I55" s="107" t="str">
        <f>D60</f>
        <v>Vorjahr</v>
      </c>
      <c r="J55" s="17"/>
      <c r="K55" s="108">
        <f>E60</f>
        <v>2006</v>
      </c>
    </row>
    <row r="56" spans="1:13" ht="13.5" thickBot="1" x14ac:dyDescent="0.25">
      <c r="A56" s="77">
        <f>(D70+D75-D62)/J77</f>
        <v>5.8358229605321181</v>
      </c>
      <c r="B56" s="36"/>
      <c r="C56" s="63">
        <f>(E70+E75-E62)/F30</f>
        <v>9.3421085616180264</v>
      </c>
      <c r="D56" s="104">
        <f>(D62+D63)/D75</f>
        <v>0.87148287917986456</v>
      </c>
      <c r="E56" s="36"/>
      <c r="F56" s="106">
        <f>(E62+E63)/E75</f>
        <v>1.0632629102447286</v>
      </c>
      <c r="G56" s="36"/>
      <c r="H56" s="38"/>
      <c r="I56" s="104">
        <f>(D67+D70)/D61</f>
        <v>1.3428475547517942</v>
      </c>
      <c r="J56" s="36"/>
      <c r="K56" s="105">
        <f>(E67+E70)/E61</f>
        <v>1.411915235990802</v>
      </c>
    </row>
    <row r="57" spans="1:13" x14ac:dyDescent="0.2">
      <c r="A57" s="4"/>
      <c r="B57" s="4"/>
      <c r="C57" s="4"/>
      <c r="D57" s="4"/>
      <c r="E57" s="4"/>
      <c r="F57" s="4"/>
    </row>
    <row r="59" spans="1:13" ht="13.5" thickBot="1" x14ac:dyDescent="0.25">
      <c r="A59" s="72" t="s">
        <v>36</v>
      </c>
      <c r="I59" s="148" t="s">
        <v>27</v>
      </c>
      <c r="J59" s="148"/>
      <c r="K59" s="148"/>
    </row>
    <row r="60" spans="1:13" ht="16.5" thickBot="1" x14ac:dyDescent="0.3">
      <c r="A60" s="79"/>
      <c r="B60" s="80"/>
      <c r="C60" s="81"/>
      <c r="D60" s="82" t="s">
        <v>59</v>
      </c>
      <c r="E60" s="83">
        <v>2006</v>
      </c>
      <c r="I60" s="15"/>
      <c r="J60" s="92" t="str">
        <f>D60</f>
        <v>Vorjahr</v>
      </c>
      <c r="K60" s="93">
        <f>E60</f>
        <v>2006</v>
      </c>
      <c r="M60" s="61"/>
    </row>
    <row r="61" spans="1:13" x14ac:dyDescent="0.2">
      <c r="A61" s="84" t="s">
        <v>28</v>
      </c>
      <c r="B61" s="85"/>
      <c r="C61" s="85"/>
      <c r="D61" s="86">
        <f>'Finanzbericht 2005'!E61</f>
        <v>12753.42087</v>
      </c>
      <c r="E61" s="87">
        <v>16834.083869999999</v>
      </c>
      <c r="I61" s="94" t="s">
        <v>0</v>
      </c>
      <c r="J61" s="95"/>
      <c r="K61" s="96"/>
    </row>
    <row r="62" spans="1:13" x14ac:dyDescent="0.2">
      <c r="A62" s="13" t="s">
        <v>12</v>
      </c>
      <c r="B62" s="17"/>
      <c r="C62" s="17"/>
      <c r="D62" s="88">
        <f>'Finanzbericht 2005'!E62</f>
        <v>1052.2605699999999</v>
      </c>
      <c r="E62" s="41">
        <v>1183.9199000000001</v>
      </c>
      <c r="I62" s="97"/>
      <c r="J62" s="88">
        <f>'Finanzbericht 2005'!K62</f>
        <v>105519.38443000001</v>
      </c>
      <c r="K62" s="41">
        <v>106092.82545999999</v>
      </c>
    </row>
    <row r="63" spans="1:13" ht="13.5" thickBot="1" x14ac:dyDescent="0.25">
      <c r="A63" s="13" t="s">
        <v>43</v>
      </c>
      <c r="B63" s="17"/>
      <c r="C63" s="17"/>
      <c r="D63" s="88">
        <f>'Finanzbericht 2005'!E63</f>
        <v>17195.627669999998</v>
      </c>
      <c r="E63" s="88">
        <f>21352.18867+1.42628</f>
        <v>21353.614949999999</v>
      </c>
      <c r="I63" s="98"/>
      <c r="J63" s="88"/>
      <c r="K63" s="99"/>
    </row>
    <row r="64" spans="1:13" x14ac:dyDescent="0.2">
      <c r="A64" s="13" t="s">
        <v>29</v>
      </c>
      <c r="B64" s="17"/>
      <c r="C64" s="17"/>
      <c r="D64" s="88">
        <f>'Finanzbericht 2005'!E64</f>
        <v>7063.4856200000004</v>
      </c>
      <c r="E64" s="41">
        <v>5593.2584399999996</v>
      </c>
      <c r="I64" s="94" t="s">
        <v>5</v>
      </c>
      <c r="J64" s="95"/>
      <c r="K64" s="96"/>
    </row>
    <row r="65" spans="1:11" ht="13.5" thickBot="1" x14ac:dyDescent="0.25">
      <c r="A65" s="84" t="s">
        <v>30</v>
      </c>
      <c r="B65" s="85"/>
      <c r="C65" s="85"/>
      <c r="D65" s="86">
        <f>SUM(D62:D64)</f>
        <v>25311.373859999996</v>
      </c>
      <c r="E65" s="87">
        <f>SUM(E62:E64)</f>
        <v>28130.793290000001</v>
      </c>
      <c r="I65" s="97"/>
      <c r="J65" s="88">
        <f>'Finanzbericht 2005'!K65</f>
        <v>980.15761999999995</v>
      </c>
      <c r="K65" s="41">
        <v>813.51418999999999</v>
      </c>
    </row>
    <row r="66" spans="1:11" ht="16.5" thickBot="1" x14ac:dyDescent="0.3">
      <c r="A66" s="79" t="s">
        <v>31</v>
      </c>
      <c r="B66" s="80"/>
      <c r="C66" s="80"/>
      <c r="D66" s="89">
        <f>D61+D65</f>
        <v>38064.794729999994</v>
      </c>
      <c r="E66" s="90">
        <f>E61+E65</f>
        <v>44964.877160000004</v>
      </c>
      <c r="I66" s="98"/>
      <c r="J66" s="100"/>
      <c r="K66" s="99"/>
    </row>
    <row r="67" spans="1:11" x14ac:dyDescent="0.2">
      <c r="A67" s="84" t="s">
        <v>32</v>
      </c>
      <c r="B67" s="85"/>
      <c r="C67" s="85"/>
      <c r="D67" s="86">
        <f>'Finanzbericht 2005'!E67</f>
        <v>9461.0670300000002</v>
      </c>
      <c r="E67" s="87">
        <v>15564.1585</v>
      </c>
      <c r="I67" s="94" t="s">
        <v>11</v>
      </c>
      <c r="J67" s="88"/>
      <c r="K67" s="96"/>
    </row>
    <row r="68" spans="1:11" x14ac:dyDescent="0.2">
      <c r="A68" s="13" t="s">
        <v>39</v>
      </c>
      <c r="B68" s="17"/>
      <c r="C68" s="17"/>
      <c r="D68" s="88">
        <f>'Finanzbericht 2005'!E68</f>
        <v>7664.8329999999996</v>
      </c>
      <c r="E68" s="41">
        <f>8204141/1000</f>
        <v>8204.1409999999996</v>
      </c>
      <c r="I68" s="97"/>
      <c r="J68" s="88">
        <f>'Finanzbericht 2005'!K68</f>
        <v>469.38808000000006</v>
      </c>
      <c r="K68" s="41">
        <f>396.52967-122.76353</f>
        <v>273.76614000000001</v>
      </c>
    </row>
    <row r="69" spans="1:11" ht="13.5" thickBot="1" x14ac:dyDescent="0.25">
      <c r="A69" s="13" t="s">
        <v>38</v>
      </c>
      <c r="B69" s="17"/>
      <c r="C69" s="17"/>
      <c r="D69" s="88">
        <f>'Finanzbericht 2005'!E69</f>
        <v>0</v>
      </c>
      <c r="E69" s="41">
        <v>0</v>
      </c>
      <c r="I69" s="97"/>
      <c r="J69" s="88"/>
      <c r="K69" s="41"/>
    </row>
    <row r="70" spans="1:11" x14ac:dyDescent="0.2">
      <c r="A70" s="84" t="s">
        <v>33</v>
      </c>
      <c r="B70" s="85"/>
      <c r="C70" s="85"/>
      <c r="D70" s="86">
        <f>SUM(D68:D69)</f>
        <v>7664.8329999999996</v>
      </c>
      <c r="E70" s="87">
        <f>SUM(E68:E69)</f>
        <v>8204.1409999999996</v>
      </c>
      <c r="I70" s="94" t="s">
        <v>16</v>
      </c>
      <c r="J70" s="95"/>
      <c r="K70" s="96"/>
    </row>
    <row r="71" spans="1:11" x14ac:dyDescent="0.2">
      <c r="A71" s="13" t="s">
        <v>42</v>
      </c>
      <c r="B71" s="17"/>
      <c r="C71" s="17"/>
      <c r="D71" s="88">
        <f>'Finanzbericht 2005'!E71</f>
        <v>13111.167609999991</v>
      </c>
      <c r="E71" s="41">
        <f>12492.06476+2961.74398+6.336+22</f>
        <v>15482.14474</v>
      </c>
      <c r="I71" s="97"/>
      <c r="J71" s="88">
        <f>'Finanzbericht 2005'!K71</f>
        <v>2726.96666</v>
      </c>
      <c r="K71" s="41">
        <f>1821.06108+190.70681</f>
        <v>2011.7678899999999</v>
      </c>
    </row>
    <row r="72" spans="1:11" ht="13.5" thickBot="1" x14ac:dyDescent="0.25">
      <c r="A72" s="13" t="s">
        <v>37</v>
      </c>
      <c r="B72" s="17"/>
      <c r="C72" s="17"/>
      <c r="D72" s="88">
        <f>'Finanzbericht 2005'!E72</f>
        <v>0</v>
      </c>
      <c r="E72" s="41">
        <v>0</v>
      </c>
      <c r="I72" s="98"/>
      <c r="J72" s="100"/>
      <c r="K72" s="99"/>
    </row>
    <row r="73" spans="1:11" x14ac:dyDescent="0.2">
      <c r="A73" s="13" t="s">
        <v>41</v>
      </c>
      <c r="B73" s="17"/>
      <c r="C73" s="17"/>
      <c r="D73" s="88">
        <f>'Finanzbericht 2005'!E73</f>
        <v>5469.0045999999993</v>
      </c>
      <c r="E73" s="88">
        <f>4846.45337+301.08722</f>
        <v>5147.5405900000005</v>
      </c>
      <c r="I73" s="94" t="s">
        <v>4</v>
      </c>
      <c r="J73" s="88"/>
      <c r="K73" s="96"/>
    </row>
    <row r="74" spans="1:11" s="56" customFormat="1" x14ac:dyDescent="0.2">
      <c r="A74" s="13" t="s">
        <v>40</v>
      </c>
      <c r="B74" s="17"/>
      <c r="C74" s="17"/>
      <c r="D74" s="88">
        <f>'Finanzbericht 2005'!E74</f>
        <v>2358.7224900000001</v>
      </c>
      <c r="E74" s="41">
        <f>566.89233</f>
        <v>566.89233000000002</v>
      </c>
      <c r="I74" s="97"/>
      <c r="J74" s="88">
        <f>'Finanzbericht 2005'!K74</f>
        <v>2205.6410999999998</v>
      </c>
      <c r="K74" s="41">
        <v>1667.56647</v>
      </c>
    </row>
    <row r="75" spans="1:11" ht="13.5" thickBot="1" x14ac:dyDescent="0.25">
      <c r="A75" s="84" t="s">
        <v>34</v>
      </c>
      <c r="B75" s="85"/>
      <c r="C75" s="85"/>
      <c r="D75" s="86">
        <f>SUM(D71:D74)</f>
        <v>20938.89469999999</v>
      </c>
      <c r="E75" s="87">
        <f>SUM(E71:E74)</f>
        <v>21196.577659999999</v>
      </c>
      <c r="I75" s="101"/>
      <c r="J75" s="100"/>
      <c r="K75" s="99"/>
    </row>
    <row r="76" spans="1:11" ht="16.5" thickBot="1" x14ac:dyDescent="0.3">
      <c r="A76" s="79" t="s">
        <v>35</v>
      </c>
      <c r="B76" s="80"/>
      <c r="C76" s="80"/>
      <c r="D76" s="89">
        <f>D75+D70+D67</f>
        <v>38064.794729999987</v>
      </c>
      <c r="E76" s="90">
        <f>E75+E70+E67</f>
        <v>44964.877159999996</v>
      </c>
      <c r="I76" s="12" t="s">
        <v>9</v>
      </c>
      <c r="J76" s="102"/>
      <c r="K76" s="33"/>
    </row>
    <row r="77" spans="1:11" ht="13.5" thickBot="1" x14ac:dyDescent="0.25">
      <c r="A77" s="8"/>
      <c r="B77" s="8"/>
      <c r="C77" s="8"/>
      <c r="D77" s="8"/>
      <c r="E77" s="91" t="str">
        <f>IF(E76=E66, "i.O.", "Fehler!")</f>
        <v>i.O.</v>
      </c>
      <c r="I77" s="13"/>
      <c r="J77" s="112">
        <f>'Finanzbericht 2005'!K77</f>
        <v>4721.0937199999998</v>
      </c>
      <c r="K77" s="41">
        <f>F30</f>
        <v>3020.3886600000001</v>
      </c>
    </row>
    <row r="78" spans="1:11" ht="13.5" thickBot="1" x14ac:dyDescent="0.25">
      <c r="I78" s="101"/>
      <c r="J78" s="103"/>
      <c r="K78" s="38"/>
    </row>
    <row r="82" spans="1:6" x14ac:dyDescent="0.2">
      <c r="A82" s="17"/>
      <c r="B82" s="17"/>
      <c r="C82" s="17"/>
      <c r="D82" s="30"/>
      <c r="E82" s="30"/>
      <c r="F82" s="4"/>
    </row>
    <row r="83" spans="1:6" x14ac:dyDescent="0.2">
      <c r="A83" s="17"/>
      <c r="B83" s="17"/>
      <c r="C83" s="17"/>
      <c r="D83" s="30"/>
      <c r="E83" s="30"/>
      <c r="F83" s="4"/>
    </row>
    <row r="84" spans="1:6" x14ac:dyDescent="0.2">
      <c r="A84" s="4"/>
      <c r="B84" s="4"/>
      <c r="C84" s="4"/>
      <c r="D84" s="4"/>
      <c r="E84" s="4"/>
      <c r="F84" s="4"/>
    </row>
    <row r="90" spans="1:6" x14ac:dyDescent="0.2">
      <c r="A90" s="64"/>
      <c r="B90" s="4"/>
      <c r="C90" s="4"/>
    </row>
    <row r="91" spans="1:6" x14ac:dyDescent="0.2">
      <c r="A91" s="4"/>
      <c r="B91" s="4"/>
      <c r="C91" s="4"/>
    </row>
    <row r="92" spans="1:6" x14ac:dyDescent="0.2">
      <c r="A92" s="4"/>
      <c r="B92" s="68"/>
      <c r="C92" s="68"/>
    </row>
    <row r="93" spans="1:6" x14ac:dyDescent="0.2">
      <c r="A93" s="4"/>
      <c r="B93" s="4"/>
      <c r="C93" s="4"/>
    </row>
    <row r="94" spans="1:6" x14ac:dyDescent="0.2">
      <c r="A94" s="69"/>
      <c r="B94" s="4"/>
      <c r="C94" s="4"/>
    </row>
    <row r="95" spans="1:6" x14ac:dyDescent="0.2">
      <c r="A95" s="4"/>
      <c r="B95" s="4"/>
      <c r="C95" s="4"/>
    </row>
    <row r="96" spans="1:6" x14ac:dyDescent="0.2">
      <c r="A96" s="4"/>
      <c r="B96" s="67"/>
      <c r="C96" s="67"/>
    </row>
    <row r="97" spans="1:3" x14ac:dyDescent="0.2">
      <c r="A97" s="4"/>
      <c r="B97" s="68"/>
      <c r="C97" s="68"/>
    </row>
    <row r="98" spans="1:3" x14ac:dyDescent="0.2">
      <c r="A98" s="4"/>
      <c r="B98" s="4"/>
      <c r="C98" s="4"/>
    </row>
    <row r="99" spans="1:3" x14ac:dyDescent="0.2">
      <c r="A99" s="4"/>
      <c r="B99" s="4"/>
      <c r="C99" s="4"/>
    </row>
    <row r="100" spans="1:3" x14ac:dyDescent="0.2">
      <c r="A100" s="4"/>
      <c r="B100" s="4"/>
      <c r="C100" s="4"/>
    </row>
    <row r="101" spans="1:3" x14ac:dyDescent="0.2">
      <c r="A101" s="4"/>
      <c r="B101" s="4"/>
      <c r="C101" s="4"/>
    </row>
    <row r="102" spans="1:3" x14ac:dyDescent="0.2">
      <c r="A102" s="4"/>
      <c r="B102" s="4"/>
      <c r="C102" s="4"/>
    </row>
    <row r="103" spans="1:3" x14ac:dyDescent="0.2">
      <c r="A103" s="4"/>
      <c r="B103" s="4"/>
      <c r="C103" s="4"/>
    </row>
    <row r="104" spans="1:3" x14ac:dyDescent="0.2">
      <c r="A104" s="4"/>
      <c r="B104" s="68"/>
      <c r="C104" s="68"/>
    </row>
    <row r="105" spans="1:3" x14ac:dyDescent="0.2">
      <c r="A105" s="4"/>
      <c r="B105" s="67"/>
      <c r="C105" s="67"/>
    </row>
    <row r="106" spans="1:3" x14ac:dyDescent="0.2">
      <c r="A106" s="4"/>
      <c r="B106" s="4"/>
      <c r="C106" s="4"/>
    </row>
    <row r="107" spans="1:3" x14ac:dyDescent="0.2">
      <c r="A107" s="4"/>
      <c r="B107" s="4"/>
      <c r="C107" s="4"/>
    </row>
    <row r="108" spans="1:3" x14ac:dyDescent="0.2">
      <c r="A108" s="64"/>
      <c r="B108" s="4"/>
      <c r="C108" s="4"/>
    </row>
    <row r="109" spans="1:3" x14ac:dyDescent="0.2">
      <c r="A109" s="4"/>
      <c r="B109" s="4"/>
      <c r="C109" s="4"/>
    </row>
    <row r="110" spans="1:3" x14ac:dyDescent="0.2">
      <c r="A110" s="4"/>
      <c r="B110" s="68"/>
      <c r="C110" s="68"/>
    </row>
    <row r="111" spans="1:3" x14ac:dyDescent="0.2">
      <c r="A111" s="4"/>
      <c r="B111" s="67"/>
      <c r="C111" s="67"/>
    </row>
    <row r="112" spans="1:3" x14ac:dyDescent="0.2">
      <c r="A112" s="4"/>
      <c r="B112" s="4"/>
      <c r="C112" s="4"/>
    </row>
    <row r="113" spans="1:3" x14ac:dyDescent="0.2">
      <c r="A113" s="4"/>
      <c r="B113" s="4"/>
      <c r="C113" s="4"/>
    </row>
    <row r="114" spans="1:3" x14ac:dyDescent="0.2">
      <c r="A114" s="64"/>
      <c r="B114" s="4"/>
      <c r="C114" s="4"/>
    </row>
    <row r="115" spans="1:3" x14ac:dyDescent="0.2">
      <c r="A115" s="4"/>
      <c r="B115" s="4"/>
      <c r="C115" s="4"/>
    </row>
    <row r="116" spans="1:3" x14ac:dyDescent="0.2">
      <c r="A116" s="4"/>
      <c r="B116" s="68"/>
      <c r="C116" s="68"/>
    </row>
    <row r="117" spans="1:3" x14ac:dyDescent="0.2">
      <c r="A117" s="4"/>
      <c r="B117" s="67"/>
      <c r="C117" s="67"/>
    </row>
    <row r="118" spans="1:3" x14ac:dyDescent="0.2">
      <c r="A118" s="4"/>
      <c r="B118" s="4"/>
      <c r="C118" s="4"/>
    </row>
    <row r="119" spans="1:3" x14ac:dyDescent="0.2">
      <c r="A119" s="4"/>
      <c r="B119" s="4"/>
      <c r="C119" s="4"/>
    </row>
    <row r="120" spans="1:3" x14ac:dyDescent="0.2">
      <c r="A120" s="64"/>
      <c r="B120" s="4"/>
      <c r="C120" s="4"/>
    </row>
    <row r="121" spans="1:3" x14ac:dyDescent="0.2">
      <c r="A121" s="4"/>
      <c r="B121" s="4"/>
      <c r="C121" s="4"/>
    </row>
    <row r="122" spans="1:3" x14ac:dyDescent="0.2">
      <c r="A122" s="65"/>
      <c r="B122" s="66"/>
      <c r="C122" s="65"/>
    </row>
    <row r="123" spans="1:3" x14ac:dyDescent="0.2">
      <c r="A123" s="65"/>
      <c r="B123" s="66"/>
      <c r="C123" s="65"/>
    </row>
    <row r="124" spans="1:3" x14ac:dyDescent="0.2">
      <c r="A124" s="65"/>
      <c r="B124" s="65"/>
      <c r="C124" s="65"/>
    </row>
    <row r="125" spans="1:3" x14ac:dyDescent="0.2">
      <c r="A125" s="4"/>
      <c r="B125" s="4"/>
      <c r="C125" s="4"/>
    </row>
    <row r="126" spans="1:3" x14ac:dyDescent="0.2">
      <c r="A126" s="4"/>
      <c r="B126" s="4"/>
      <c r="C126" s="4"/>
    </row>
    <row r="127" spans="1:3" x14ac:dyDescent="0.2">
      <c r="A127" s="70"/>
      <c r="B127" s="71"/>
      <c r="C127" s="4"/>
    </row>
  </sheetData>
  <mergeCells count="10">
    <mergeCell ref="I41:K41"/>
    <mergeCell ref="A50:C50"/>
    <mergeCell ref="D50:H50"/>
    <mergeCell ref="I59:K59"/>
    <mergeCell ref="I5:K5"/>
    <mergeCell ref="I7:K7"/>
    <mergeCell ref="I8:K8"/>
    <mergeCell ref="I14:K14"/>
    <mergeCell ref="I23:K23"/>
    <mergeCell ref="I32:K32"/>
  </mergeCells>
  <printOptions horizontalCentered="1" gridLinesSet="0"/>
  <pageMargins left="0.78740157480314965" right="0.59055118110236227" top="0.78740157480314965" bottom="0.78740157480314965" header="0.51181102362204722" footer="0.51181102362204722"/>
  <pageSetup paperSize="9" scale="71" orientation="portrait" horizontalDpi="300" r:id="rId1"/>
  <headerFooter alignWithMargins="0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Q127"/>
  <sheetViews>
    <sheetView showGridLines="0" topLeftCell="A52" zoomScale="110" zoomScaleNormal="110" workbookViewId="0">
      <selection activeCell="K77" sqref="K77"/>
    </sheetView>
  </sheetViews>
  <sheetFormatPr baseColWidth="10" defaultRowHeight="12.75" x14ac:dyDescent="0.2"/>
  <cols>
    <col min="1" max="1" width="11.7109375" style="2" customWidth="1"/>
    <col min="2" max="2" width="8.28515625" style="2" customWidth="1"/>
    <col min="3" max="3" width="11.85546875" style="2" customWidth="1"/>
    <col min="4" max="4" width="11.42578125" style="2"/>
    <col min="5" max="5" width="10.42578125" style="2" customWidth="1"/>
    <col min="6" max="6" width="9.42578125" style="2" customWidth="1"/>
    <col min="7" max="7" width="1.28515625" style="2" customWidth="1"/>
    <col min="8" max="8" width="3.42578125" style="2" customWidth="1"/>
    <col min="9" max="9" width="8.7109375" style="2" customWidth="1"/>
    <col min="10" max="10" width="10.5703125" style="2" customWidth="1"/>
    <col min="11" max="11" width="9.42578125" style="2" customWidth="1"/>
    <col min="12" max="16384" width="11.42578125" style="2"/>
  </cols>
  <sheetData>
    <row r="1" spans="1:17" ht="20.25" x14ac:dyDescent="0.3">
      <c r="A1" s="55" t="s">
        <v>58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pans="1:17" s="1" customFormat="1" x14ac:dyDescent="0.2">
      <c r="A2" s="6"/>
      <c r="B2" s="7"/>
      <c r="C2" s="7"/>
      <c r="D2" s="7"/>
      <c r="E2" s="7"/>
      <c r="F2" s="7"/>
      <c r="G2" s="7"/>
      <c r="H2" s="7"/>
      <c r="I2" s="7"/>
      <c r="J2" s="7"/>
      <c r="K2" s="7"/>
    </row>
    <row r="3" spans="1:17" s="1" customFormat="1" x14ac:dyDescent="0.2">
      <c r="A3" s="6"/>
      <c r="B3" s="7"/>
      <c r="C3" s="7"/>
      <c r="D3" s="7"/>
      <c r="E3" s="7"/>
      <c r="F3" s="7"/>
      <c r="G3" s="7"/>
      <c r="H3" s="7"/>
      <c r="I3" s="7"/>
      <c r="J3" s="7"/>
      <c r="K3" s="7"/>
      <c r="L3" s="76" t="str">
        <f>IF(C20=F20,"i.O.","Fehler!")</f>
        <v>i.O.</v>
      </c>
    </row>
    <row r="4" spans="1:17" ht="13.5" thickBot="1" x14ac:dyDescent="0.25">
      <c r="A4" s="8"/>
      <c r="B4" s="8"/>
      <c r="C4" s="8"/>
      <c r="D4" s="8"/>
      <c r="E4" s="8"/>
      <c r="F4" s="8"/>
      <c r="G4" s="8"/>
      <c r="H4" s="8"/>
      <c r="I4" s="8"/>
      <c r="J4" s="8"/>
      <c r="K4" s="8"/>
    </row>
    <row r="5" spans="1:17" ht="15.75" x14ac:dyDescent="0.25">
      <c r="A5" s="47" t="s">
        <v>1</v>
      </c>
      <c r="B5" s="48"/>
      <c r="C5" s="48"/>
      <c r="D5" s="48"/>
      <c r="E5" s="48"/>
      <c r="F5" s="49"/>
      <c r="G5" s="8"/>
      <c r="H5" s="8"/>
      <c r="I5" s="149" t="s">
        <v>15</v>
      </c>
      <c r="J5" s="150"/>
      <c r="K5" s="151"/>
      <c r="N5" s="4"/>
      <c r="O5" s="64"/>
      <c r="P5" s="4"/>
      <c r="Q5" s="4"/>
    </row>
    <row r="6" spans="1:17" ht="15.75" x14ac:dyDescent="0.25">
      <c r="A6" s="50"/>
      <c r="B6" s="19"/>
      <c r="C6" s="19"/>
      <c r="D6" s="19"/>
      <c r="E6" s="19"/>
      <c r="F6" s="20"/>
      <c r="G6" s="8"/>
      <c r="H6" s="8"/>
      <c r="I6" s="110" t="s">
        <v>51</v>
      </c>
      <c r="J6" s="17"/>
      <c r="K6" s="23"/>
      <c r="N6" s="4"/>
      <c r="O6" s="4"/>
      <c r="P6" s="4"/>
      <c r="Q6" s="4"/>
    </row>
    <row r="7" spans="1:17" ht="13.5" thickBot="1" x14ac:dyDescent="0.25">
      <c r="A7" s="51" t="s">
        <v>2</v>
      </c>
      <c r="B7" s="19" t="s">
        <v>14</v>
      </c>
      <c r="C7" s="19"/>
      <c r="D7" s="52" t="s">
        <v>3</v>
      </c>
      <c r="E7" s="19" t="s">
        <v>14</v>
      </c>
      <c r="F7" s="20"/>
      <c r="G7" s="8"/>
      <c r="H7" s="8"/>
      <c r="I7" s="155" t="s">
        <v>16</v>
      </c>
      <c r="J7" s="156"/>
      <c r="K7" s="157"/>
      <c r="N7" s="4"/>
      <c r="O7" s="65"/>
      <c r="P7" s="65"/>
      <c r="Q7" s="65"/>
    </row>
    <row r="8" spans="1:17" x14ac:dyDescent="0.2">
      <c r="A8" s="12" t="s">
        <v>25</v>
      </c>
      <c r="B8" s="11"/>
      <c r="C8" s="11">
        <f>-F40</f>
        <v>980.82205000000067</v>
      </c>
      <c r="D8" s="12" t="s">
        <v>26</v>
      </c>
      <c r="E8" s="11"/>
      <c r="F8" s="33">
        <f>F26</f>
        <v>2205.6410999999998</v>
      </c>
      <c r="G8" s="8"/>
      <c r="H8" s="8"/>
      <c r="I8" s="152" t="s">
        <v>53</v>
      </c>
      <c r="J8" s="153"/>
      <c r="K8" s="154"/>
      <c r="N8" s="4"/>
      <c r="O8" s="65"/>
      <c r="P8" s="66"/>
      <c r="Q8" s="65"/>
    </row>
    <row r="9" spans="1:17" x14ac:dyDescent="0.2">
      <c r="A9" s="13" t="str">
        <f>IF(F32&lt;0,"Zunahme Debitoren","")</f>
        <v/>
      </c>
      <c r="B9" s="17"/>
      <c r="C9" s="17" t="str">
        <f>IF(F32&lt;0,-F32,"")</f>
        <v/>
      </c>
      <c r="D9" s="13" t="s">
        <v>5</v>
      </c>
      <c r="E9" s="17"/>
      <c r="F9" s="23">
        <f>F27</f>
        <v>980.15761999999995</v>
      </c>
      <c r="G9" s="8"/>
      <c r="H9" s="8"/>
      <c r="I9" s="13"/>
      <c r="J9" s="17"/>
      <c r="K9" s="23"/>
      <c r="N9" s="4"/>
      <c r="O9" s="65"/>
      <c r="P9" s="65"/>
      <c r="Q9" s="65"/>
    </row>
    <row r="10" spans="1:17" x14ac:dyDescent="0.2">
      <c r="A10" s="13" t="str">
        <f>IF(F33&lt;0,"Zunahme Bestände","")</f>
        <v/>
      </c>
      <c r="B10" s="17"/>
      <c r="C10" s="17" t="str">
        <f>IF(F33&lt;0,-F33,"")</f>
        <v/>
      </c>
      <c r="D10" s="34" t="s">
        <v>52</v>
      </c>
      <c r="E10" s="9"/>
      <c r="F10" s="35">
        <f>F28</f>
        <v>1535.2950000000001</v>
      </c>
      <c r="G10" s="8"/>
      <c r="H10" s="8"/>
      <c r="I10" s="107" t="str">
        <f>I19</f>
        <v>Vorjahr</v>
      </c>
      <c r="J10" s="17"/>
      <c r="K10" s="108">
        <f>K19</f>
        <v>2005</v>
      </c>
      <c r="N10" s="4"/>
      <c r="O10" s="4"/>
      <c r="P10" s="4"/>
      <c r="Q10" s="4"/>
    </row>
    <row r="11" spans="1:17" ht="13.5" thickBot="1" x14ac:dyDescent="0.25">
      <c r="A11" s="13" t="str">
        <f>IF(F34&lt;0,"Abnahme Anzahlungen","")</f>
        <v/>
      </c>
      <c r="B11" s="17"/>
      <c r="C11" s="23" t="str">
        <f>IF(F34&lt;0,-F34,"")</f>
        <v/>
      </c>
      <c r="D11" s="57" t="s">
        <v>6</v>
      </c>
      <c r="E11" s="58"/>
      <c r="F11" s="23">
        <f>SUM(F8:F10)</f>
        <v>4721.0937199999998</v>
      </c>
      <c r="G11" s="8"/>
      <c r="H11" s="8"/>
      <c r="I11" s="104">
        <f>J71/D76</f>
        <v>8.4859155262004701E-2</v>
      </c>
      <c r="J11" s="36"/>
      <c r="K11" s="60">
        <f>K71/((E76))</f>
        <v>7.1640125195547091E-2</v>
      </c>
      <c r="N11" s="4"/>
      <c r="O11" s="65"/>
      <c r="P11" s="65"/>
      <c r="Q11" s="65"/>
    </row>
    <row r="12" spans="1:17" x14ac:dyDescent="0.2">
      <c r="A12" s="13" t="str">
        <f>IF(F35&lt;0,"Abn. Rückstellungen","")</f>
        <v>Abn. Rückstellungen</v>
      </c>
      <c r="B12" s="17"/>
      <c r="C12" s="23">
        <f>IF(F35&lt;0,-F35,"")</f>
        <v>5201.6036800000129</v>
      </c>
      <c r="D12" s="13" t="str">
        <f>IF(F32&gt;0,"Abnahme Debitoren","")</f>
        <v>Abnahme Debitoren</v>
      </c>
      <c r="E12" s="17"/>
      <c r="F12" s="23">
        <f>IF(F32&gt;0,F32,"")</f>
        <v>4100.6010700000043</v>
      </c>
      <c r="G12" s="8"/>
      <c r="H12" s="8"/>
      <c r="I12" s="111" t="s">
        <v>57</v>
      </c>
      <c r="J12" s="8"/>
      <c r="K12" s="8"/>
      <c r="N12" s="4"/>
      <c r="O12" s="65"/>
      <c r="P12" s="65"/>
      <c r="Q12" s="65"/>
    </row>
    <row r="13" spans="1:17" ht="13.5" thickBot="1" x14ac:dyDescent="0.25">
      <c r="A13" s="13" t="str">
        <f>IF(F36&lt;0,"Abnahme Kreditoren","")</f>
        <v>Abnahme Kreditoren</v>
      </c>
      <c r="B13" s="17"/>
      <c r="C13" s="23">
        <f>IF(F36&lt;0,-F36,"")</f>
        <v>743.19375000000036</v>
      </c>
      <c r="D13" s="13" t="str">
        <f>IF(F33&gt;0,"Bestandsabbau","")</f>
        <v>Bestandsabbau</v>
      </c>
      <c r="E13" s="17"/>
      <c r="F13" s="23">
        <f>IF(F33&gt;0,F33,"")</f>
        <v>4399.0028400000001</v>
      </c>
      <c r="G13" s="8"/>
      <c r="H13" s="8"/>
      <c r="I13" s="8"/>
      <c r="J13" s="8"/>
      <c r="K13" s="8"/>
      <c r="N13" s="4"/>
      <c r="O13" s="4"/>
      <c r="P13" s="4"/>
      <c r="Q13" s="4"/>
    </row>
    <row r="14" spans="1:17" x14ac:dyDescent="0.2">
      <c r="A14" s="13" t="str">
        <f>IF(F47&gt;0,"Aufbau FlüMi","")</f>
        <v>Aufbau FlüMi</v>
      </c>
      <c r="B14" s="17"/>
      <c r="C14" s="23">
        <f>IF(F47&gt;0,F47,"")</f>
        <v>741.99466999999277</v>
      </c>
      <c r="D14" s="13" t="str">
        <f>IF(F34&gt;0,"Zunahme Anzahlungen","")</f>
        <v/>
      </c>
      <c r="E14" s="17"/>
      <c r="F14" s="23" t="str">
        <f>IF(F34&gt;0,F34,"")</f>
        <v/>
      </c>
      <c r="G14" s="8"/>
      <c r="H14" s="8"/>
      <c r="I14" s="149" t="s">
        <v>46</v>
      </c>
      <c r="J14" s="150"/>
      <c r="K14" s="151"/>
      <c r="N14" s="4"/>
      <c r="O14" s="67"/>
      <c r="P14" s="67"/>
      <c r="Q14" s="67"/>
    </row>
    <row r="15" spans="1:17" x14ac:dyDescent="0.2">
      <c r="A15" s="13" t="str">
        <f>IF(F43&lt;0,"Abn. lafri Schulden","")</f>
        <v/>
      </c>
      <c r="B15" s="17"/>
      <c r="C15" s="23" t="str">
        <f>IF(F43&lt;0,-F43,"")</f>
        <v/>
      </c>
      <c r="D15" s="13" t="str">
        <f>IF(F35&gt;0,"Zunahme Rückstellungen","")</f>
        <v/>
      </c>
      <c r="E15" s="17"/>
      <c r="F15" s="23" t="str">
        <f>IF(F35&gt;0,F35,"")</f>
        <v/>
      </c>
      <c r="G15" s="8"/>
      <c r="H15" s="8"/>
      <c r="I15" s="13"/>
      <c r="J15" s="17"/>
      <c r="K15" s="23"/>
      <c r="N15" s="4"/>
      <c r="O15" s="67"/>
      <c r="P15" s="67"/>
      <c r="Q15" s="67"/>
    </row>
    <row r="16" spans="1:17" x14ac:dyDescent="0.2">
      <c r="A16" s="13" t="str">
        <f>IF(F44&lt;0,"Abn. kufri Schulden","")</f>
        <v>Abn. kufri Schulden</v>
      </c>
      <c r="B16" s="17"/>
      <c r="C16" s="23">
        <f>IF(F44&lt;0,-F44,"")</f>
        <v>5553.0834799999993</v>
      </c>
      <c r="D16" s="13" t="str">
        <f>IF(F36&gt;0,"Zunahme Kreditoren","")</f>
        <v/>
      </c>
      <c r="E16" s="17"/>
      <c r="F16" s="23" t="str">
        <f>IF(F36&gt;0,F36,"")</f>
        <v/>
      </c>
      <c r="G16" s="8"/>
      <c r="H16" s="8"/>
      <c r="I16" s="13"/>
      <c r="J16" s="37" t="s">
        <v>9</v>
      </c>
      <c r="K16" s="23"/>
    </row>
    <row r="17" spans="1:14" x14ac:dyDescent="0.2">
      <c r="A17" s="13"/>
      <c r="B17" s="17"/>
      <c r="C17" s="17"/>
      <c r="D17" s="13" t="str">
        <f>IF(F47&lt;0,"Abbau FlüMi","")</f>
        <v/>
      </c>
      <c r="E17" s="17"/>
      <c r="F17" s="23" t="str">
        <f>IF(F47&lt;0,-F47,"")</f>
        <v/>
      </c>
      <c r="G17" s="8"/>
      <c r="H17" s="8"/>
      <c r="I17" s="13"/>
      <c r="J17" s="30" t="s">
        <v>0</v>
      </c>
      <c r="K17" s="23"/>
    </row>
    <row r="18" spans="1:14" x14ac:dyDescent="0.2">
      <c r="A18" s="13"/>
      <c r="B18" s="17"/>
      <c r="C18" s="17"/>
      <c r="D18" s="13" t="str">
        <f>IF(F43&gt;0,"Zunahme lafri Schulden","")</f>
        <v/>
      </c>
      <c r="E18" s="17"/>
      <c r="F18" s="23" t="str">
        <f>IF(F43&gt;0,F43,"")</f>
        <v/>
      </c>
      <c r="G18" s="8"/>
      <c r="H18" s="8"/>
      <c r="I18" s="13"/>
      <c r="J18" s="17"/>
      <c r="K18" s="23"/>
    </row>
    <row r="19" spans="1:14" ht="13.5" thickBot="1" x14ac:dyDescent="0.25">
      <c r="A19" s="13"/>
      <c r="B19" s="17"/>
      <c r="C19" s="59"/>
      <c r="D19" s="13" t="str">
        <f>IF(F44&gt;0,"Zunahme kufri Schulden","")</f>
        <v/>
      </c>
      <c r="E19" s="17"/>
      <c r="F19" s="59" t="str">
        <f>IF(F44&gt;0,F44,"")</f>
        <v/>
      </c>
      <c r="G19" s="8"/>
      <c r="H19" s="8"/>
      <c r="I19" s="107" t="str">
        <f>I37</f>
        <v>Vorjahr</v>
      </c>
      <c r="J19" s="17"/>
      <c r="K19" s="108">
        <f>K37</f>
        <v>2005</v>
      </c>
    </row>
    <row r="20" spans="1:14" ht="14.25" thickTop="1" thickBot="1" x14ac:dyDescent="0.25">
      <c r="A20" s="73"/>
      <c r="B20" s="74"/>
      <c r="C20" s="74">
        <f>SUM(C8:C19)</f>
        <v>13220.697630000006</v>
      </c>
      <c r="D20" s="73"/>
      <c r="E20" s="74"/>
      <c r="F20" s="75">
        <f>SUM(F11:F19)</f>
        <v>13220.697630000006</v>
      </c>
      <c r="G20" s="8"/>
      <c r="H20" s="8"/>
      <c r="I20" s="104">
        <f>J77/J62</f>
        <v>0.11373703085450548</v>
      </c>
      <c r="J20" s="36"/>
      <c r="K20" s="105">
        <f>F30/K62</f>
        <v>4.4741482766438079E-2</v>
      </c>
    </row>
    <row r="21" spans="1:14" x14ac:dyDescent="0.2">
      <c r="B21" s="8"/>
      <c r="C21" s="8"/>
      <c r="D21" s="8"/>
      <c r="E21" s="8"/>
      <c r="F21" s="8"/>
      <c r="G21" s="8"/>
      <c r="H21" s="8"/>
      <c r="I21" s="8"/>
      <c r="J21" s="8"/>
      <c r="K21" s="8"/>
    </row>
    <row r="22" spans="1:14" ht="13.5" thickBot="1" x14ac:dyDescent="0.25">
      <c r="B22" s="8"/>
      <c r="C22" s="8"/>
      <c r="D22" s="8"/>
      <c r="E22" s="8"/>
      <c r="F22" s="8"/>
      <c r="G22" s="8"/>
      <c r="H22" s="8"/>
      <c r="I22" s="8"/>
      <c r="J22" s="8"/>
      <c r="K22" s="8"/>
    </row>
    <row r="23" spans="1:14" ht="16.5" thickBot="1" x14ac:dyDescent="0.3">
      <c r="A23" s="53" t="s">
        <v>24</v>
      </c>
      <c r="B23" s="3"/>
      <c r="C23" s="3"/>
      <c r="D23" s="3"/>
      <c r="E23" s="3"/>
      <c r="F23" s="54"/>
      <c r="G23" s="8"/>
      <c r="H23" s="8"/>
      <c r="I23" s="149" t="s">
        <v>45</v>
      </c>
      <c r="J23" s="150"/>
      <c r="K23" s="151"/>
    </row>
    <row r="24" spans="1:14" ht="13.5" thickBot="1" x14ac:dyDescent="0.25">
      <c r="A24" s="15"/>
      <c r="B24" s="16"/>
      <c r="C24" s="16"/>
      <c r="D24" s="16"/>
      <c r="E24" s="16"/>
      <c r="F24" s="78">
        <f>E60</f>
        <v>2005</v>
      </c>
      <c r="G24" s="8"/>
      <c r="H24" s="8"/>
      <c r="I24" s="13"/>
      <c r="J24" s="17"/>
      <c r="K24" s="23"/>
    </row>
    <row r="25" spans="1:14" x14ac:dyDescent="0.2">
      <c r="A25" s="13"/>
      <c r="B25" s="17"/>
      <c r="C25" s="17"/>
      <c r="D25" s="17"/>
      <c r="E25" s="17"/>
      <c r="F25" s="18"/>
      <c r="G25" s="8"/>
      <c r="H25" s="8"/>
      <c r="I25" s="13"/>
      <c r="J25" s="21" t="s">
        <v>16</v>
      </c>
      <c r="K25" s="23"/>
      <c r="M25" s="62"/>
    </row>
    <row r="26" spans="1:14" x14ac:dyDescent="0.2">
      <c r="A26" s="13" t="s">
        <v>26</v>
      </c>
      <c r="B26" s="17"/>
      <c r="C26" s="17"/>
      <c r="D26" s="17"/>
      <c r="E26" s="17"/>
      <c r="F26" s="22">
        <f>$K74</f>
        <v>2205.6410999999998</v>
      </c>
      <c r="G26" s="8"/>
      <c r="H26" s="8"/>
      <c r="I26" s="13"/>
      <c r="J26" s="30" t="s">
        <v>11</v>
      </c>
      <c r="K26" s="23"/>
    </row>
    <row r="27" spans="1:14" x14ac:dyDescent="0.2">
      <c r="A27" s="13" t="s">
        <v>5</v>
      </c>
      <c r="B27" s="17"/>
      <c r="C27" s="17"/>
      <c r="D27" s="17"/>
      <c r="E27" s="17"/>
      <c r="F27" s="22">
        <f>$K65</f>
        <v>980.15761999999995</v>
      </c>
      <c r="G27" s="8"/>
      <c r="H27" s="8"/>
      <c r="I27" s="13"/>
      <c r="J27" s="17"/>
      <c r="K27" s="23"/>
    </row>
    <row r="28" spans="1:14" x14ac:dyDescent="0.2">
      <c r="A28" s="13" t="s">
        <v>44</v>
      </c>
      <c r="B28" s="17"/>
      <c r="C28" s="17"/>
      <c r="D28" s="17"/>
      <c r="E28" s="17"/>
      <c r="F28" s="22">
        <f>$E68-$D68</f>
        <v>1535.2950000000001</v>
      </c>
      <c r="G28" s="8"/>
      <c r="H28" s="8"/>
      <c r="I28" s="107" t="str">
        <f>I37</f>
        <v>Vorjahr</v>
      </c>
      <c r="J28" s="17"/>
      <c r="K28" s="108">
        <f>K46</f>
        <v>2005</v>
      </c>
    </row>
    <row r="29" spans="1:14" ht="13.5" thickBot="1" x14ac:dyDescent="0.25">
      <c r="A29" s="13"/>
      <c r="B29" s="17"/>
      <c r="C29" s="17"/>
      <c r="D29" s="17"/>
      <c r="E29" s="17"/>
      <c r="F29" s="22"/>
      <c r="G29" s="8"/>
      <c r="H29" s="8"/>
      <c r="I29" s="77">
        <f>J71/J68</f>
        <v>11.269272284567583</v>
      </c>
      <c r="J29" s="36"/>
      <c r="K29" s="63">
        <f>K71/K68</f>
        <v>5.8096206022104351</v>
      </c>
    </row>
    <row r="30" spans="1:14" x14ac:dyDescent="0.2">
      <c r="A30" s="24" t="s">
        <v>6</v>
      </c>
      <c r="B30" s="14"/>
      <c r="C30" s="14"/>
      <c r="D30" s="14"/>
      <c r="E30" s="14"/>
      <c r="F30" s="25">
        <f>SUM(F26:F28)</f>
        <v>4721.0937199999998</v>
      </c>
      <c r="G30" s="8"/>
      <c r="H30" s="8"/>
      <c r="I30" s="8"/>
      <c r="J30" s="8"/>
      <c r="K30" s="8"/>
    </row>
    <row r="31" spans="1:14" ht="13.5" thickBot="1" x14ac:dyDescent="0.25">
      <c r="A31" s="13"/>
      <c r="B31" s="17"/>
      <c r="C31" s="17"/>
      <c r="D31" s="17"/>
      <c r="E31" s="17"/>
      <c r="F31" s="22"/>
      <c r="G31" s="8"/>
      <c r="H31" s="8"/>
      <c r="I31" s="8"/>
      <c r="J31" s="8"/>
      <c r="K31" s="8"/>
    </row>
    <row r="32" spans="1:14" x14ac:dyDescent="0.2">
      <c r="A32" s="26" t="str">
        <f>IF(D63-E63&lt;0,"- zunehmende Debitoren","+ abnehmende Debitoren")</f>
        <v>+ abnehmende Debitoren</v>
      </c>
      <c r="B32" s="17"/>
      <c r="C32" s="17"/>
      <c r="D32" s="17"/>
      <c r="E32" s="17"/>
      <c r="F32" s="22">
        <f>$D63-$E63</f>
        <v>4100.6010700000043</v>
      </c>
      <c r="G32" s="8"/>
      <c r="H32" s="8"/>
      <c r="I32" s="149" t="s">
        <v>17</v>
      </c>
      <c r="J32" s="150"/>
      <c r="K32" s="151"/>
      <c r="L32"/>
      <c r="M32"/>
      <c r="N32"/>
    </row>
    <row r="33" spans="1:14" x14ac:dyDescent="0.2">
      <c r="A33" s="26" t="str">
        <f>IF(D64-E64&lt;0,"- zunehmende Bestände","+ abnehmende Bestände")</f>
        <v>+ abnehmende Bestände</v>
      </c>
      <c r="B33" s="17"/>
      <c r="C33" s="17"/>
      <c r="D33" s="17"/>
      <c r="E33" s="17"/>
      <c r="F33" s="22">
        <f>$D64-$E64</f>
        <v>4399.0028400000001</v>
      </c>
      <c r="G33" s="8"/>
      <c r="H33" s="8"/>
      <c r="I33" s="13"/>
      <c r="J33" s="17"/>
      <c r="K33" s="23"/>
      <c r="L33"/>
      <c r="M33"/>
      <c r="N33"/>
    </row>
    <row r="34" spans="1:14" x14ac:dyDescent="0.2">
      <c r="A34" s="26" t="str">
        <f>IF(E72-D72&gt;0,"+ zunehmende Anzahlungen","- abnehmende Anzahlungen")</f>
        <v>- abnehmende Anzahlungen</v>
      </c>
      <c r="B34" s="17"/>
      <c r="C34" s="17"/>
      <c r="D34" s="17"/>
      <c r="E34" s="17"/>
      <c r="F34" s="22">
        <f>$E72-$D72</f>
        <v>0</v>
      </c>
      <c r="G34" s="8"/>
      <c r="H34" s="8"/>
      <c r="I34" s="13"/>
      <c r="J34" s="10" t="s">
        <v>16</v>
      </c>
      <c r="K34" s="23"/>
    </row>
    <row r="35" spans="1:14" x14ac:dyDescent="0.2">
      <c r="A35" s="26" t="str">
        <f>IF(E71-D71&lt;0,"- abnehmende Rückstellungen","+ zunehmende Rückstellungen")</f>
        <v>- abnehmende Rückstellungen</v>
      </c>
      <c r="B35" s="17"/>
      <c r="C35" s="17"/>
      <c r="D35" s="17"/>
      <c r="E35" s="17"/>
      <c r="F35" s="22">
        <f>$E71-$D71</f>
        <v>-5201.6036800000129</v>
      </c>
      <c r="G35" s="8"/>
      <c r="H35" s="8"/>
      <c r="I35" s="13"/>
      <c r="J35" s="30" t="s">
        <v>0</v>
      </c>
      <c r="K35" s="23"/>
    </row>
    <row r="36" spans="1:14" x14ac:dyDescent="0.2">
      <c r="A36" s="26" t="str">
        <f>IF(E73-D73&gt;0,"+ zunehmende Kreditoren","- abnehmende Kreditoren")</f>
        <v>- abnehmende Kreditoren</v>
      </c>
      <c r="B36" s="17"/>
      <c r="C36" s="17"/>
      <c r="D36" s="17"/>
      <c r="E36" s="17"/>
      <c r="F36" s="22">
        <f>$E73-$D73</f>
        <v>-743.19375000000036</v>
      </c>
      <c r="G36" s="8"/>
      <c r="H36" s="8"/>
      <c r="I36" s="13"/>
      <c r="J36" s="17"/>
      <c r="K36" s="23"/>
    </row>
    <row r="37" spans="1:14" x14ac:dyDescent="0.2">
      <c r="A37" s="14" t="s">
        <v>55</v>
      </c>
      <c r="B37" s="14"/>
      <c r="C37" s="14"/>
      <c r="D37" s="14"/>
      <c r="E37" s="14"/>
      <c r="F37" s="25">
        <f>SUM(F32:F36)</f>
        <v>2554.806479999992</v>
      </c>
      <c r="G37" s="8"/>
      <c r="H37" s="8"/>
      <c r="I37" s="107" t="str">
        <f>D60</f>
        <v>Vorjahr</v>
      </c>
      <c r="J37" s="17"/>
      <c r="K37" s="108">
        <f>E60</f>
        <v>2005</v>
      </c>
    </row>
    <row r="38" spans="1:14" ht="13.5" thickBot="1" x14ac:dyDescent="0.25">
      <c r="A38" s="24" t="s">
        <v>7</v>
      </c>
      <c r="B38" s="14"/>
      <c r="C38" s="14"/>
      <c r="D38" s="14"/>
      <c r="E38" s="14"/>
      <c r="F38" s="25">
        <f>SUM(F30:F36)</f>
        <v>7275.9001999999928</v>
      </c>
      <c r="G38" s="8"/>
      <c r="H38" s="8"/>
      <c r="I38" s="104">
        <f>J71/J62</f>
        <v>3.595204313790152E-2</v>
      </c>
      <c r="J38" s="36"/>
      <c r="K38" s="105">
        <f>K71/K62</f>
        <v>2.5843276803884593E-2</v>
      </c>
    </row>
    <row r="39" spans="1:14" x14ac:dyDescent="0.2">
      <c r="A39" s="13"/>
      <c r="B39" s="17"/>
      <c r="C39" s="17"/>
      <c r="D39" s="17"/>
      <c r="E39" s="17"/>
      <c r="F39" s="22"/>
      <c r="G39" s="8"/>
      <c r="H39" s="8"/>
      <c r="I39" s="8"/>
      <c r="J39" s="8"/>
      <c r="K39" s="8"/>
    </row>
    <row r="40" spans="1:14" ht="13.5" thickBot="1" x14ac:dyDescent="0.25">
      <c r="A40" s="13" t="s">
        <v>54</v>
      </c>
      <c r="B40" s="17"/>
      <c r="C40" s="17"/>
      <c r="D40" s="17"/>
      <c r="E40" s="17"/>
      <c r="F40" s="22">
        <f>-$E61+$D61-$K65</f>
        <v>-980.82205000000067</v>
      </c>
      <c r="G40" s="8"/>
      <c r="H40" s="8"/>
      <c r="I40" s="8"/>
      <c r="J40" s="8"/>
      <c r="K40" s="8"/>
    </row>
    <row r="41" spans="1:14" x14ac:dyDescent="0.2">
      <c r="A41" s="24" t="s">
        <v>8</v>
      </c>
      <c r="B41" s="14"/>
      <c r="C41" s="14"/>
      <c r="D41" s="14"/>
      <c r="E41" s="14"/>
      <c r="F41" s="25">
        <f>F38+F40</f>
        <v>6295.0781499999921</v>
      </c>
      <c r="G41" s="8"/>
      <c r="H41" s="8"/>
      <c r="I41" s="160" t="s">
        <v>47</v>
      </c>
      <c r="J41" s="161"/>
      <c r="K41" s="162"/>
    </row>
    <row r="42" spans="1:14" x14ac:dyDescent="0.2">
      <c r="A42" s="26"/>
      <c r="B42" s="17"/>
      <c r="C42" s="17"/>
      <c r="D42" s="17"/>
      <c r="E42" s="17"/>
      <c r="F42" s="22"/>
      <c r="G42" s="8"/>
      <c r="H42" s="8"/>
      <c r="I42" s="13"/>
      <c r="J42" s="17"/>
      <c r="K42" s="23"/>
    </row>
    <row r="43" spans="1:14" x14ac:dyDescent="0.2">
      <c r="A43" s="13" t="str">
        <f>IF(E68-D68&gt;0,"+ zunehmende Schulden (lafri)","- abnehmende Schulden (lafri)")</f>
        <v>+ zunehmende Schulden (lafri)</v>
      </c>
      <c r="B43" s="17"/>
      <c r="C43" s="17"/>
      <c r="D43" s="17"/>
      <c r="E43" s="17"/>
      <c r="F43" s="22">
        <f>$E69-$D69</f>
        <v>0</v>
      </c>
      <c r="G43" s="8"/>
      <c r="H43" s="8"/>
      <c r="I43" s="13"/>
      <c r="J43" s="10" t="s">
        <v>13</v>
      </c>
      <c r="K43" s="23"/>
    </row>
    <row r="44" spans="1:14" x14ac:dyDescent="0.2">
      <c r="A44" s="26" t="str">
        <f>IF(E73-D73&gt;0,"+ zunehmende Schulden (kufri)","- abnehmende Schulden (kufri)")</f>
        <v>- abnehmende Schulden (kufri)</v>
      </c>
      <c r="B44" s="26"/>
      <c r="C44" s="17"/>
      <c r="D44" s="17"/>
      <c r="E44" s="17"/>
      <c r="F44" s="22">
        <f>$E74-$D74</f>
        <v>-5553.0834799999993</v>
      </c>
      <c r="G44" s="8"/>
      <c r="H44" s="8"/>
      <c r="I44" s="13"/>
      <c r="J44" s="30" t="s">
        <v>18</v>
      </c>
      <c r="K44" s="23"/>
    </row>
    <row r="45" spans="1:14" x14ac:dyDescent="0.2">
      <c r="A45" s="26"/>
      <c r="B45" s="17"/>
      <c r="C45" s="17"/>
      <c r="D45" s="17"/>
      <c r="E45" s="17"/>
      <c r="F45" s="22"/>
      <c r="G45" s="8"/>
      <c r="H45" s="8"/>
      <c r="I45" s="13"/>
      <c r="J45" s="17"/>
      <c r="K45" s="23"/>
    </row>
    <row r="46" spans="1:14" x14ac:dyDescent="0.2">
      <c r="A46" s="14" t="s">
        <v>56</v>
      </c>
      <c r="B46" s="14"/>
      <c r="C46" s="14"/>
      <c r="D46" s="14"/>
      <c r="E46" s="14"/>
      <c r="F46" s="25">
        <f>SUM(F43:F45)</f>
        <v>-5553.0834799999993</v>
      </c>
      <c r="G46" s="8"/>
      <c r="H46" s="8"/>
      <c r="I46" s="107" t="str">
        <f>D60</f>
        <v>Vorjahr</v>
      </c>
      <c r="J46" s="17"/>
      <c r="K46" s="108">
        <f>E60</f>
        <v>2005</v>
      </c>
    </row>
    <row r="47" spans="1:14" ht="13.5" thickBot="1" x14ac:dyDescent="0.25">
      <c r="A47" s="27" t="s">
        <v>10</v>
      </c>
      <c r="B47" s="28"/>
      <c r="C47" s="28"/>
      <c r="D47" s="28"/>
      <c r="E47" s="28"/>
      <c r="F47" s="29">
        <f>SUM(F41:F45)</f>
        <v>741.99466999999277</v>
      </c>
      <c r="G47" s="8"/>
      <c r="H47" s="8"/>
      <c r="I47" s="104">
        <f>D67/D76</f>
        <v>0.15834025514606206</v>
      </c>
      <c r="J47" s="36"/>
      <c r="K47" s="105">
        <f>E67/E76</f>
        <v>0.24855163667921881</v>
      </c>
    </row>
    <row r="48" spans="1:14" x14ac:dyDescent="0.2">
      <c r="A48" s="17"/>
      <c r="B48" s="17"/>
      <c r="C48" s="17"/>
      <c r="D48" s="17"/>
      <c r="E48" s="17"/>
      <c r="F48" s="17"/>
      <c r="G48" s="8"/>
      <c r="H48" s="8"/>
      <c r="I48" s="8"/>
      <c r="J48" s="8"/>
      <c r="K48" s="8"/>
    </row>
    <row r="49" spans="1:13" ht="13.5" thickBot="1" x14ac:dyDescent="0.25">
      <c r="A49" s="17"/>
      <c r="B49" s="17"/>
      <c r="C49" s="17"/>
      <c r="D49" s="17"/>
      <c r="E49" s="17"/>
      <c r="F49" s="17"/>
      <c r="G49" s="8"/>
      <c r="H49" s="8"/>
      <c r="I49" s="8"/>
      <c r="J49" s="8"/>
      <c r="K49" s="8"/>
    </row>
    <row r="50" spans="1:13" x14ac:dyDescent="0.2">
      <c r="A50" s="149" t="s">
        <v>48</v>
      </c>
      <c r="B50" s="150"/>
      <c r="C50" s="151"/>
      <c r="D50" s="149" t="s">
        <v>49</v>
      </c>
      <c r="E50" s="158"/>
      <c r="F50" s="158"/>
      <c r="G50" s="158"/>
      <c r="H50" s="159"/>
      <c r="I50" s="39"/>
      <c r="J50" s="45" t="s">
        <v>50</v>
      </c>
      <c r="K50" s="33"/>
    </row>
    <row r="51" spans="1:13" x14ac:dyDescent="0.2">
      <c r="A51" s="13"/>
      <c r="B51" s="17"/>
      <c r="C51" s="23"/>
      <c r="D51" s="13"/>
      <c r="E51" s="17"/>
      <c r="F51" s="17"/>
      <c r="G51" s="17"/>
      <c r="H51" s="23"/>
      <c r="I51" s="42"/>
      <c r="J51" s="17"/>
      <c r="K51" s="23"/>
    </row>
    <row r="52" spans="1:13" x14ac:dyDescent="0.2">
      <c r="A52" s="40"/>
      <c r="B52" s="31" t="s">
        <v>23</v>
      </c>
      <c r="C52" s="44"/>
      <c r="D52" s="46"/>
      <c r="E52" s="31" t="s">
        <v>21</v>
      </c>
      <c r="F52" s="32"/>
      <c r="G52" s="17"/>
      <c r="H52" s="23"/>
      <c r="I52" s="34" t="s">
        <v>19</v>
      </c>
      <c r="J52" s="9"/>
      <c r="K52" s="35"/>
    </row>
    <row r="53" spans="1:13" x14ac:dyDescent="0.2">
      <c r="A53" s="13"/>
      <c r="B53" s="30" t="s">
        <v>9</v>
      </c>
      <c r="C53" s="23"/>
      <c r="D53" s="13"/>
      <c r="E53" s="30" t="s">
        <v>22</v>
      </c>
      <c r="F53" s="17"/>
      <c r="G53" s="17"/>
      <c r="H53" s="23"/>
      <c r="I53" s="13"/>
      <c r="J53" s="43" t="s">
        <v>20</v>
      </c>
      <c r="K53" s="23"/>
    </row>
    <row r="54" spans="1:13" x14ac:dyDescent="0.2">
      <c r="A54" s="13"/>
      <c r="B54" s="17"/>
      <c r="C54" s="23"/>
      <c r="D54" s="13"/>
      <c r="E54" s="17"/>
      <c r="F54" s="17"/>
      <c r="G54" s="17"/>
      <c r="H54" s="23"/>
      <c r="I54" s="42"/>
      <c r="J54" s="17"/>
      <c r="K54" s="23"/>
    </row>
    <row r="55" spans="1:13" x14ac:dyDescent="0.2">
      <c r="A55" s="107" t="str">
        <f>D60</f>
        <v>Vorjahr</v>
      </c>
      <c r="B55" s="17"/>
      <c r="C55" s="108">
        <f>E60</f>
        <v>2005</v>
      </c>
      <c r="D55" s="107" t="str">
        <f>D60</f>
        <v>Vorjahr</v>
      </c>
      <c r="E55" s="17"/>
      <c r="F55" s="109">
        <f>E60</f>
        <v>2005</v>
      </c>
      <c r="G55" s="17"/>
      <c r="H55" s="23"/>
      <c r="I55" s="107" t="str">
        <f>D60</f>
        <v>Vorjahr</v>
      </c>
      <c r="J55" s="17"/>
      <c r="K55" s="108">
        <f>E60</f>
        <v>2005</v>
      </c>
    </row>
    <row r="56" spans="1:13" ht="13.5" thickBot="1" x14ac:dyDescent="0.25">
      <c r="A56" s="77">
        <f>(D70+D75-D62)/J77</f>
        <v>3.1099364412653925</v>
      </c>
      <c r="B56" s="36"/>
      <c r="C56" s="63">
        <f>(E70+E75-E62)/F30</f>
        <v>5.8358229605321181</v>
      </c>
      <c r="D56" s="104">
        <f>(D62+D63)/D75</f>
        <v>0.66611104937751231</v>
      </c>
      <c r="E56" s="36"/>
      <c r="F56" s="106">
        <f>(E62+E63)/E75</f>
        <v>0.87148287917986456</v>
      </c>
      <c r="G56" s="36"/>
      <c r="H56" s="38"/>
      <c r="I56" s="104">
        <f>(D67+D70)/D61</f>
        <v>1.0495741836656609</v>
      </c>
      <c r="J56" s="36"/>
      <c r="K56" s="105">
        <f>(E67+E70)/E61</f>
        <v>1.3428475547517942</v>
      </c>
    </row>
    <row r="57" spans="1:13" x14ac:dyDescent="0.2">
      <c r="A57" s="4"/>
      <c r="B57" s="4"/>
      <c r="C57" s="4"/>
      <c r="D57" s="4"/>
      <c r="E57" s="4"/>
      <c r="F57" s="4"/>
    </row>
    <row r="59" spans="1:13" ht="13.5" thickBot="1" x14ac:dyDescent="0.25">
      <c r="A59" s="72" t="s">
        <v>36</v>
      </c>
      <c r="I59" s="148" t="s">
        <v>27</v>
      </c>
      <c r="J59" s="148"/>
      <c r="K59" s="148"/>
    </row>
    <row r="60" spans="1:13" ht="16.5" thickBot="1" x14ac:dyDescent="0.3">
      <c r="A60" s="79"/>
      <c r="B60" s="80"/>
      <c r="C60" s="81"/>
      <c r="D60" s="82" t="s">
        <v>59</v>
      </c>
      <c r="E60" s="83">
        <v>2005</v>
      </c>
      <c r="I60" s="15"/>
      <c r="J60" s="92" t="str">
        <f>D60</f>
        <v>Vorjahr</v>
      </c>
      <c r="K60" s="93">
        <f>E60</f>
        <v>2005</v>
      </c>
      <c r="M60" s="61"/>
    </row>
    <row r="61" spans="1:13" x14ac:dyDescent="0.2">
      <c r="A61" s="84" t="s">
        <v>28</v>
      </c>
      <c r="B61" s="85"/>
      <c r="C61" s="85"/>
      <c r="D61" s="86">
        <f>'Finanzbericht 2004'!E61</f>
        <v>12752.756439999999</v>
      </c>
      <c r="E61" s="87">
        <v>12753.42087</v>
      </c>
      <c r="I61" s="94" t="s">
        <v>0</v>
      </c>
      <c r="J61" s="95"/>
      <c r="K61" s="96"/>
    </row>
    <row r="62" spans="1:13" x14ac:dyDescent="0.2">
      <c r="A62" s="13" t="s">
        <v>12</v>
      </c>
      <c r="B62" s="17"/>
      <c r="C62" s="17"/>
      <c r="D62" s="88">
        <f>'Finanzbericht 2004'!E62</f>
        <v>310.26589999999999</v>
      </c>
      <c r="E62" s="41">
        <v>1052.2605699999999</v>
      </c>
      <c r="I62" s="97"/>
      <c r="J62" s="88">
        <f>'Finanzbericht 2004'!K62</f>
        <v>108155.0246</v>
      </c>
      <c r="K62" s="41">
        <v>105519.38443000001</v>
      </c>
    </row>
    <row r="63" spans="1:13" ht="13.5" thickBot="1" x14ac:dyDescent="0.25">
      <c r="A63" s="13" t="s">
        <v>43</v>
      </c>
      <c r="B63" s="17"/>
      <c r="C63" s="17"/>
      <c r="D63" s="88">
        <f>'Finanzbericht 2004'!E63</f>
        <v>21296.228740000002</v>
      </c>
      <c r="E63" s="88">
        <f>17192.77511+2.85256</f>
        <v>17195.627669999998</v>
      </c>
      <c r="I63" s="98"/>
      <c r="J63" s="88"/>
      <c r="K63" s="99"/>
    </row>
    <row r="64" spans="1:13" x14ac:dyDescent="0.2">
      <c r="A64" s="13" t="s">
        <v>29</v>
      </c>
      <c r="B64" s="17"/>
      <c r="C64" s="17"/>
      <c r="D64" s="88">
        <f>'Finanzbericht 2004'!E64</f>
        <v>11462.48846</v>
      </c>
      <c r="E64" s="41">
        <v>7063.4856200000004</v>
      </c>
      <c r="I64" s="94" t="s">
        <v>5</v>
      </c>
      <c r="J64" s="95"/>
      <c r="K64" s="96"/>
    </row>
    <row r="65" spans="1:11" ht="13.5" thickBot="1" x14ac:dyDescent="0.25">
      <c r="A65" s="84" t="s">
        <v>30</v>
      </c>
      <c r="B65" s="85"/>
      <c r="C65" s="85"/>
      <c r="D65" s="86">
        <f>SUM(D62:D64)</f>
        <v>33068.983099999998</v>
      </c>
      <c r="E65" s="87">
        <f>SUM(E62:E64)</f>
        <v>25311.373859999996</v>
      </c>
      <c r="I65" s="97"/>
      <c r="J65" s="88">
        <f>'Finanzbericht 2004'!K65</f>
        <v>1299.1458700000001</v>
      </c>
      <c r="K65" s="41">
        <v>980.15761999999995</v>
      </c>
    </row>
    <row r="66" spans="1:11" ht="16.5" thickBot="1" x14ac:dyDescent="0.3">
      <c r="A66" s="79" t="s">
        <v>31</v>
      </c>
      <c r="B66" s="80"/>
      <c r="C66" s="80"/>
      <c r="D66" s="89">
        <f>D61+D65</f>
        <v>45821.739539999995</v>
      </c>
      <c r="E66" s="90">
        <f>E61+E65</f>
        <v>38064.794729999994</v>
      </c>
      <c r="I66" s="98"/>
      <c r="J66" s="100"/>
      <c r="K66" s="99"/>
    </row>
    <row r="67" spans="1:11" x14ac:dyDescent="0.2">
      <c r="A67" s="84" t="s">
        <v>32</v>
      </c>
      <c r="B67" s="85"/>
      <c r="C67" s="85"/>
      <c r="D67" s="86">
        <f>'Finanzbericht 2004'!E67</f>
        <v>7255.4259300000003</v>
      </c>
      <c r="E67" s="87">
        <v>9461.0670300000002</v>
      </c>
      <c r="I67" s="94" t="s">
        <v>11</v>
      </c>
      <c r="J67" s="88"/>
      <c r="K67" s="96"/>
    </row>
    <row r="68" spans="1:11" x14ac:dyDescent="0.2">
      <c r="A68" s="13" t="s">
        <v>39</v>
      </c>
      <c r="B68" s="17"/>
      <c r="C68" s="17"/>
      <c r="D68" s="88">
        <f>'Finanzbericht 2004'!E68</f>
        <v>6129.5379999999996</v>
      </c>
      <c r="E68" s="41">
        <f>7664833/1000</f>
        <v>7664.8329999999996</v>
      </c>
      <c r="I68" s="97"/>
      <c r="J68" s="88">
        <f>'Finanzbericht 2004'!K68</f>
        <v>345.04394000000002</v>
      </c>
      <c r="K68" s="41">
        <f>556.23467-86.84659</f>
        <v>469.38808000000006</v>
      </c>
    </row>
    <row r="69" spans="1:11" ht="13.5" thickBot="1" x14ac:dyDescent="0.25">
      <c r="A69" s="13" t="s">
        <v>38</v>
      </c>
      <c r="B69" s="17"/>
      <c r="C69" s="17"/>
      <c r="D69" s="88">
        <f>'Finanzbericht 2004'!E69</f>
        <v>0</v>
      </c>
      <c r="E69" s="41">
        <v>0</v>
      </c>
      <c r="I69" s="97"/>
      <c r="J69" s="88"/>
      <c r="K69" s="41"/>
    </row>
    <row r="70" spans="1:11" x14ac:dyDescent="0.2">
      <c r="A70" s="84" t="s">
        <v>33</v>
      </c>
      <c r="B70" s="85"/>
      <c r="C70" s="85"/>
      <c r="D70" s="86">
        <f>SUM(D68:D69)</f>
        <v>6129.5379999999996</v>
      </c>
      <c r="E70" s="87">
        <f>SUM(E68:E69)</f>
        <v>7664.8329999999996</v>
      </c>
      <c r="I70" s="94" t="s">
        <v>16</v>
      </c>
      <c r="J70" s="95"/>
      <c r="K70" s="96"/>
    </row>
    <row r="71" spans="1:11" x14ac:dyDescent="0.2">
      <c r="A71" s="13" t="s">
        <v>42</v>
      </c>
      <c r="B71" s="17"/>
      <c r="C71" s="17"/>
      <c r="D71" s="88">
        <f>'Finanzbericht 2004'!E71</f>
        <v>18312.771290000004</v>
      </c>
      <c r="E71" s="41">
        <f>9054.74311999999+3949.16449+54.26+53</f>
        <v>13111.167609999991</v>
      </c>
      <c r="I71" s="97"/>
      <c r="J71" s="88">
        <f>'Finanzbericht 2004'!K71</f>
        <v>3888.3941100000002</v>
      </c>
      <c r="K71" s="41">
        <v>2726.96666</v>
      </c>
    </row>
    <row r="72" spans="1:11" ht="13.5" thickBot="1" x14ac:dyDescent="0.25">
      <c r="A72" s="13" t="s">
        <v>37</v>
      </c>
      <c r="B72" s="17"/>
      <c r="C72" s="17"/>
      <c r="D72" s="88">
        <f>'Finanzbericht 2004'!E72</f>
        <v>0</v>
      </c>
      <c r="E72" s="41">
        <v>0</v>
      </c>
      <c r="I72" s="98"/>
      <c r="J72" s="100"/>
      <c r="K72" s="99"/>
    </row>
    <row r="73" spans="1:11" x14ac:dyDescent="0.2">
      <c r="A73" s="13" t="s">
        <v>41</v>
      </c>
      <c r="B73" s="17"/>
      <c r="C73" s="17"/>
      <c r="D73" s="88">
        <f>'Finanzbericht 2004'!E73</f>
        <v>6212.1983499999997</v>
      </c>
      <c r="E73" s="88">
        <f>5469004.6/1000</f>
        <v>5469.0045999999993</v>
      </c>
      <c r="I73" s="94" t="s">
        <v>4</v>
      </c>
      <c r="J73" s="88"/>
      <c r="K73" s="96"/>
    </row>
    <row r="74" spans="1:11" s="56" customFormat="1" x14ac:dyDescent="0.2">
      <c r="A74" s="13" t="s">
        <v>40</v>
      </c>
      <c r="B74" s="17"/>
      <c r="C74" s="17"/>
      <c r="D74" s="88">
        <f>'Finanzbericht 2004'!E74</f>
        <v>7911.8059699999994</v>
      </c>
      <c r="E74" s="41">
        <f>2358.72249</f>
        <v>2358.7224900000001</v>
      </c>
      <c r="I74" s="97"/>
      <c r="J74" s="88">
        <f>'Finanzbericht 2004'!K74</f>
        <v>10626.666499999999</v>
      </c>
      <c r="K74" s="41">
        <v>2205.6410999999998</v>
      </c>
    </row>
    <row r="75" spans="1:11" ht="13.5" thickBot="1" x14ac:dyDescent="0.25">
      <c r="A75" s="84" t="s">
        <v>34</v>
      </c>
      <c r="B75" s="85"/>
      <c r="C75" s="85"/>
      <c r="D75" s="86">
        <f>SUM(D71:D74)</f>
        <v>32436.775610000004</v>
      </c>
      <c r="E75" s="87">
        <f>SUM(E71:E74)</f>
        <v>20938.89469999999</v>
      </c>
      <c r="I75" s="101"/>
      <c r="J75" s="100"/>
      <c r="K75" s="99"/>
    </row>
    <row r="76" spans="1:11" ht="16.5" thickBot="1" x14ac:dyDescent="0.3">
      <c r="A76" s="79" t="s">
        <v>35</v>
      </c>
      <c r="B76" s="80"/>
      <c r="C76" s="80"/>
      <c r="D76" s="89">
        <f>D75+D70+D67</f>
        <v>45821.739540000002</v>
      </c>
      <c r="E76" s="90">
        <f>E75+E70+E67</f>
        <v>38064.794729999987</v>
      </c>
      <c r="I76" s="12" t="s">
        <v>9</v>
      </c>
      <c r="J76" s="102"/>
      <c r="K76" s="33"/>
    </row>
    <row r="77" spans="1:11" ht="13.5" thickBot="1" x14ac:dyDescent="0.25">
      <c r="A77" s="8"/>
      <c r="B77" s="8"/>
      <c r="C77" s="8"/>
      <c r="D77" s="8"/>
      <c r="E77" s="91" t="str">
        <f>IF(E76=E66, "i.O.", "Fehler!")</f>
        <v>i.O.</v>
      </c>
      <c r="I77" s="13"/>
      <c r="J77" s="112">
        <f>'Finanzbericht 2004'!K77</f>
        <v>12301.23137</v>
      </c>
      <c r="K77" s="41">
        <f>F30</f>
        <v>4721.0937199999998</v>
      </c>
    </row>
    <row r="78" spans="1:11" ht="13.5" thickBot="1" x14ac:dyDescent="0.25">
      <c r="I78" s="101"/>
      <c r="J78" s="103"/>
      <c r="K78" s="38"/>
    </row>
    <row r="82" spans="1:6" x14ac:dyDescent="0.2">
      <c r="A82" s="17"/>
      <c r="B82" s="17"/>
      <c r="C82" s="17"/>
      <c r="D82" s="30"/>
      <c r="E82" s="30"/>
      <c r="F82" s="4"/>
    </row>
    <row r="83" spans="1:6" x14ac:dyDescent="0.2">
      <c r="A83" s="17"/>
      <c r="B83" s="17"/>
      <c r="C83" s="17"/>
      <c r="D83" s="30"/>
      <c r="E83" s="30"/>
      <c r="F83" s="4"/>
    </row>
    <row r="84" spans="1:6" x14ac:dyDescent="0.2">
      <c r="A84" s="4"/>
      <c r="B84" s="4"/>
      <c r="C84" s="4"/>
      <c r="D84" s="4"/>
      <c r="E84" s="4"/>
      <c r="F84" s="4"/>
    </row>
    <row r="90" spans="1:6" x14ac:dyDescent="0.2">
      <c r="A90" s="64"/>
      <c r="B90" s="4"/>
      <c r="C90" s="4"/>
    </row>
    <row r="91" spans="1:6" x14ac:dyDescent="0.2">
      <c r="A91" s="4"/>
      <c r="B91" s="4"/>
      <c r="C91" s="4"/>
    </row>
    <row r="92" spans="1:6" x14ac:dyDescent="0.2">
      <c r="A92" s="4"/>
      <c r="B92" s="68"/>
      <c r="C92" s="68"/>
    </row>
    <row r="93" spans="1:6" x14ac:dyDescent="0.2">
      <c r="A93" s="4"/>
      <c r="B93" s="4"/>
      <c r="C93" s="4"/>
    </row>
    <row r="94" spans="1:6" x14ac:dyDescent="0.2">
      <c r="A94" s="69"/>
      <c r="B94" s="4"/>
      <c r="C94" s="4"/>
    </row>
    <row r="95" spans="1:6" x14ac:dyDescent="0.2">
      <c r="A95" s="4"/>
      <c r="B95" s="4"/>
      <c r="C95" s="4"/>
    </row>
    <row r="96" spans="1:6" x14ac:dyDescent="0.2">
      <c r="A96" s="4"/>
      <c r="B96" s="67"/>
      <c r="C96" s="67"/>
    </row>
    <row r="97" spans="1:3" x14ac:dyDescent="0.2">
      <c r="A97" s="4"/>
      <c r="B97" s="68"/>
      <c r="C97" s="68"/>
    </row>
    <row r="98" spans="1:3" x14ac:dyDescent="0.2">
      <c r="A98" s="4"/>
      <c r="B98" s="4"/>
      <c r="C98" s="4"/>
    </row>
    <row r="99" spans="1:3" x14ac:dyDescent="0.2">
      <c r="A99" s="4"/>
      <c r="B99" s="4"/>
      <c r="C99" s="4"/>
    </row>
    <row r="100" spans="1:3" x14ac:dyDescent="0.2">
      <c r="A100" s="4"/>
      <c r="B100" s="4"/>
      <c r="C100" s="4"/>
    </row>
    <row r="101" spans="1:3" x14ac:dyDescent="0.2">
      <c r="A101" s="4"/>
      <c r="B101" s="4"/>
      <c r="C101" s="4"/>
    </row>
    <row r="102" spans="1:3" x14ac:dyDescent="0.2">
      <c r="A102" s="4"/>
      <c r="B102" s="4"/>
      <c r="C102" s="4"/>
    </row>
    <row r="103" spans="1:3" x14ac:dyDescent="0.2">
      <c r="A103" s="4"/>
      <c r="B103" s="4"/>
      <c r="C103" s="4"/>
    </row>
    <row r="104" spans="1:3" x14ac:dyDescent="0.2">
      <c r="A104" s="4"/>
      <c r="B104" s="68"/>
      <c r="C104" s="68"/>
    </row>
    <row r="105" spans="1:3" x14ac:dyDescent="0.2">
      <c r="A105" s="4"/>
      <c r="B105" s="67"/>
      <c r="C105" s="67"/>
    </row>
    <row r="106" spans="1:3" x14ac:dyDescent="0.2">
      <c r="A106" s="4"/>
      <c r="B106" s="4"/>
      <c r="C106" s="4"/>
    </row>
    <row r="107" spans="1:3" x14ac:dyDescent="0.2">
      <c r="A107" s="4"/>
      <c r="B107" s="4"/>
      <c r="C107" s="4"/>
    </row>
    <row r="108" spans="1:3" x14ac:dyDescent="0.2">
      <c r="A108" s="64"/>
      <c r="B108" s="4"/>
      <c r="C108" s="4"/>
    </row>
    <row r="109" spans="1:3" x14ac:dyDescent="0.2">
      <c r="A109" s="4"/>
      <c r="B109" s="4"/>
      <c r="C109" s="4"/>
    </row>
    <row r="110" spans="1:3" x14ac:dyDescent="0.2">
      <c r="A110" s="4"/>
      <c r="B110" s="68"/>
      <c r="C110" s="68"/>
    </row>
    <row r="111" spans="1:3" x14ac:dyDescent="0.2">
      <c r="A111" s="4"/>
      <c r="B111" s="67"/>
      <c r="C111" s="67"/>
    </row>
    <row r="112" spans="1:3" x14ac:dyDescent="0.2">
      <c r="A112" s="4"/>
      <c r="B112" s="4"/>
      <c r="C112" s="4"/>
    </row>
    <row r="113" spans="1:3" x14ac:dyDescent="0.2">
      <c r="A113" s="4"/>
      <c r="B113" s="4"/>
      <c r="C113" s="4"/>
    </row>
    <row r="114" spans="1:3" x14ac:dyDescent="0.2">
      <c r="A114" s="64"/>
      <c r="B114" s="4"/>
      <c r="C114" s="4"/>
    </row>
    <row r="115" spans="1:3" x14ac:dyDescent="0.2">
      <c r="A115" s="4"/>
      <c r="B115" s="4"/>
      <c r="C115" s="4"/>
    </row>
    <row r="116" spans="1:3" x14ac:dyDescent="0.2">
      <c r="A116" s="4"/>
      <c r="B116" s="68"/>
      <c r="C116" s="68"/>
    </row>
    <row r="117" spans="1:3" x14ac:dyDescent="0.2">
      <c r="A117" s="4"/>
      <c r="B117" s="67"/>
      <c r="C117" s="67"/>
    </row>
    <row r="118" spans="1:3" x14ac:dyDescent="0.2">
      <c r="A118" s="4"/>
      <c r="B118" s="4"/>
      <c r="C118" s="4"/>
    </row>
    <row r="119" spans="1:3" x14ac:dyDescent="0.2">
      <c r="A119" s="4"/>
      <c r="B119" s="4"/>
      <c r="C119" s="4"/>
    </row>
    <row r="120" spans="1:3" x14ac:dyDescent="0.2">
      <c r="A120" s="64"/>
      <c r="B120" s="4"/>
      <c r="C120" s="4"/>
    </row>
    <row r="121" spans="1:3" x14ac:dyDescent="0.2">
      <c r="A121" s="4"/>
      <c r="B121" s="4"/>
      <c r="C121" s="4"/>
    </row>
    <row r="122" spans="1:3" x14ac:dyDescent="0.2">
      <c r="A122" s="65"/>
      <c r="B122" s="66"/>
      <c r="C122" s="65"/>
    </row>
    <row r="123" spans="1:3" x14ac:dyDescent="0.2">
      <c r="A123" s="65"/>
      <c r="B123" s="66"/>
      <c r="C123" s="65"/>
    </row>
    <row r="124" spans="1:3" x14ac:dyDescent="0.2">
      <c r="A124" s="65"/>
      <c r="B124" s="65"/>
      <c r="C124" s="65"/>
    </row>
    <row r="125" spans="1:3" x14ac:dyDescent="0.2">
      <c r="A125" s="4"/>
      <c r="B125" s="4"/>
      <c r="C125" s="4"/>
    </row>
    <row r="126" spans="1:3" x14ac:dyDescent="0.2">
      <c r="A126" s="4"/>
      <c r="B126" s="4"/>
      <c r="C126" s="4"/>
    </row>
    <row r="127" spans="1:3" x14ac:dyDescent="0.2">
      <c r="A127" s="70"/>
      <c r="B127" s="71"/>
      <c r="C127" s="4"/>
    </row>
  </sheetData>
  <mergeCells count="10">
    <mergeCell ref="I41:K41"/>
    <mergeCell ref="A50:C50"/>
    <mergeCell ref="D50:H50"/>
    <mergeCell ref="I59:K59"/>
    <mergeCell ref="I5:K5"/>
    <mergeCell ref="I7:K7"/>
    <mergeCell ref="I8:K8"/>
    <mergeCell ref="I14:K14"/>
    <mergeCell ref="I23:K23"/>
    <mergeCell ref="I32:K32"/>
  </mergeCells>
  <printOptions horizontalCentered="1" gridLinesSet="0"/>
  <pageMargins left="0.78740157480314965" right="0.59055118110236227" top="0.78740157480314965" bottom="0.78740157480314965" header="0.51181102362204722" footer="0.51181102362204722"/>
  <pageSetup paperSize="9" scale="71" orientation="portrait" horizontalDpi="300" r:id="rId1"/>
  <headerFooter alignWithMargins="0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Q127"/>
  <sheetViews>
    <sheetView showGridLines="0" topLeftCell="A46" zoomScale="110" zoomScaleNormal="110" workbookViewId="0">
      <selection activeCell="N77" sqref="N77"/>
    </sheetView>
  </sheetViews>
  <sheetFormatPr baseColWidth="10" defaultRowHeight="12.75" x14ac:dyDescent="0.2"/>
  <cols>
    <col min="1" max="1" width="11.7109375" style="2" customWidth="1"/>
    <col min="2" max="2" width="8.28515625" style="2" customWidth="1"/>
    <col min="3" max="3" width="11.85546875" style="2" customWidth="1"/>
    <col min="4" max="4" width="11.42578125" style="2"/>
    <col min="5" max="5" width="10.42578125" style="2" customWidth="1"/>
    <col min="6" max="6" width="9.42578125" style="2" customWidth="1"/>
    <col min="7" max="7" width="1.28515625" style="2" customWidth="1"/>
    <col min="8" max="8" width="3.42578125" style="2" customWidth="1"/>
    <col min="9" max="9" width="8.7109375" style="2" customWidth="1"/>
    <col min="10" max="10" width="10.5703125" style="2" customWidth="1"/>
    <col min="11" max="11" width="9.42578125" style="2" customWidth="1"/>
    <col min="12" max="16384" width="11.42578125" style="2"/>
  </cols>
  <sheetData>
    <row r="1" spans="1:17" ht="20.25" x14ac:dyDescent="0.3">
      <c r="A1" s="55" t="s">
        <v>58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pans="1:17" s="1" customFormat="1" x14ac:dyDescent="0.2">
      <c r="A2" s="6"/>
      <c r="B2" s="7"/>
      <c r="C2" s="7"/>
      <c r="D2" s="7"/>
      <c r="E2" s="7"/>
      <c r="F2" s="7"/>
      <c r="G2" s="7"/>
      <c r="H2" s="7"/>
      <c r="I2" s="7"/>
      <c r="J2" s="7"/>
      <c r="K2" s="7"/>
    </row>
    <row r="3" spans="1:17" s="1" customFormat="1" x14ac:dyDescent="0.2">
      <c r="A3" s="6"/>
      <c r="B3" s="7"/>
      <c r="C3" s="7"/>
      <c r="D3" s="7"/>
      <c r="E3" s="7"/>
      <c r="F3" s="7"/>
      <c r="G3" s="7"/>
      <c r="H3" s="7"/>
      <c r="I3" s="7"/>
      <c r="J3" s="7"/>
      <c r="K3" s="7"/>
      <c r="L3" s="76" t="str">
        <f>IF(C20=F20,"i.O.","Fehler!")</f>
        <v>i.O.</v>
      </c>
    </row>
    <row r="4" spans="1:17" ht="13.5" thickBot="1" x14ac:dyDescent="0.25">
      <c r="A4" s="8"/>
      <c r="B4" s="8"/>
      <c r="C4" s="8"/>
      <c r="D4" s="8"/>
      <c r="E4" s="8"/>
      <c r="F4" s="8"/>
      <c r="G4" s="8"/>
      <c r="H4" s="8"/>
      <c r="I4" s="8"/>
      <c r="J4" s="8"/>
      <c r="K4" s="8"/>
    </row>
    <row r="5" spans="1:17" ht="15.75" x14ac:dyDescent="0.25">
      <c r="A5" s="47" t="s">
        <v>1</v>
      </c>
      <c r="B5" s="48"/>
      <c r="C5" s="48"/>
      <c r="D5" s="48"/>
      <c r="E5" s="48"/>
      <c r="F5" s="49"/>
      <c r="G5" s="8"/>
      <c r="H5" s="8"/>
      <c r="I5" s="149" t="s">
        <v>15</v>
      </c>
      <c r="J5" s="150"/>
      <c r="K5" s="151"/>
      <c r="N5" s="4"/>
      <c r="O5" s="64"/>
      <c r="P5" s="4"/>
      <c r="Q5" s="4"/>
    </row>
    <row r="6" spans="1:17" ht="15.75" x14ac:dyDescent="0.25">
      <c r="A6" s="50"/>
      <c r="B6" s="19"/>
      <c r="C6" s="19"/>
      <c r="D6" s="19"/>
      <c r="E6" s="19"/>
      <c r="F6" s="20"/>
      <c r="G6" s="8"/>
      <c r="H6" s="8"/>
      <c r="I6" s="110" t="s">
        <v>51</v>
      </c>
      <c r="J6" s="17"/>
      <c r="K6" s="23"/>
      <c r="N6" s="4"/>
      <c r="O6" s="4"/>
      <c r="P6" s="4"/>
      <c r="Q6" s="4"/>
    </row>
    <row r="7" spans="1:17" ht="13.5" thickBot="1" x14ac:dyDescent="0.25">
      <c r="A7" s="51" t="s">
        <v>2</v>
      </c>
      <c r="B7" s="19" t="s">
        <v>14</v>
      </c>
      <c r="C7" s="19"/>
      <c r="D7" s="52" t="s">
        <v>3</v>
      </c>
      <c r="E7" s="19" t="s">
        <v>14</v>
      </c>
      <c r="F7" s="20"/>
      <c r="G7" s="8"/>
      <c r="H7" s="8"/>
      <c r="I7" s="155" t="s">
        <v>16</v>
      </c>
      <c r="J7" s="156"/>
      <c r="K7" s="157"/>
      <c r="N7" s="4"/>
      <c r="O7" s="65"/>
      <c r="P7" s="65"/>
      <c r="Q7" s="65"/>
    </row>
    <row r="8" spans="1:17" x14ac:dyDescent="0.2">
      <c r="A8" s="12" t="s">
        <v>25</v>
      </c>
      <c r="B8" s="11"/>
      <c r="C8" s="11">
        <f>-F40</f>
        <v>8815.8603999999996</v>
      </c>
      <c r="D8" s="12" t="s">
        <v>26</v>
      </c>
      <c r="E8" s="11"/>
      <c r="F8" s="33">
        <f>F26</f>
        <v>10626.666499999999</v>
      </c>
      <c r="G8" s="8"/>
      <c r="H8" s="8"/>
      <c r="I8" s="152" t="s">
        <v>53</v>
      </c>
      <c r="J8" s="153"/>
      <c r="K8" s="154"/>
      <c r="N8" s="4"/>
      <c r="O8" s="65"/>
      <c r="P8" s="66"/>
      <c r="Q8" s="65"/>
    </row>
    <row r="9" spans="1:17" x14ac:dyDescent="0.2">
      <c r="A9" s="13" t="str">
        <f>IF(F32&lt;0,"Zunahme Debitoren","")</f>
        <v>Zunahme Debitoren</v>
      </c>
      <c r="B9" s="17"/>
      <c r="C9" s="17">
        <f>IF(F32&lt;0,-F32,"")</f>
        <v>1782.7357800000027</v>
      </c>
      <c r="D9" s="13" t="s">
        <v>5</v>
      </c>
      <c r="E9" s="17"/>
      <c r="F9" s="23">
        <f>F27</f>
        <v>1299.1458700000001</v>
      </c>
      <c r="G9" s="8"/>
      <c r="H9" s="8"/>
      <c r="I9" s="13"/>
      <c r="J9" s="17"/>
      <c r="K9" s="23"/>
      <c r="N9" s="4"/>
      <c r="O9" s="65"/>
      <c r="P9" s="65"/>
      <c r="Q9" s="65"/>
    </row>
    <row r="10" spans="1:17" x14ac:dyDescent="0.2">
      <c r="A10" s="13" t="str">
        <f>IF(F33&lt;0,"Zunahme Bestände","")</f>
        <v>Zunahme Bestände</v>
      </c>
      <c r="B10" s="17"/>
      <c r="C10" s="17">
        <f>IF(F33&lt;0,-F33,"")</f>
        <v>4336.7352800000008</v>
      </c>
      <c r="D10" s="34" t="s">
        <v>52</v>
      </c>
      <c r="E10" s="9"/>
      <c r="F10" s="35">
        <f>F28</f>
        <v>375.41899999999987</v>
      </c>
      <c r="G10" s="8"/>
      <c r="H10" s="8"/>
      <c r="I10" s="107" t="str">
        <f>I19</f>
        <v>Vorjahr</v>
      </c>
      <c r="J10" s="17"/>
      <c r="K10" s="108">
        <f>K19</f>
        <v>2004</v>
      </c>
      <c r="N10" s="4"/>
      <c r="O10" s="4"/>
      <c r="P10" s="4"/>
      <c r="Q10" s="4"/>
    </row>
    <row r="11" spans="1:17" ht="13.5" thickBot="1" x14ac:dyDescent="0.25">
      <c r="A11" s="13" t="str">
        <f>IF(F34&lt;0,"Abnahme Anzahlungen","")</f>
        <v/>
      </c>
      <c r="B11" s="17"/>
      <c r="C11" s="23" t="str">
        <f>IF(F34&lt;0,-F34,"")</f>
        <v/>
      </c>
      <c r="D11" s="57" t="s">
        <v>6</v>
      </c>
      <c r="E11" s="58"/>
      <c r="F11" s="23">
        <f>SUM(F8:F10)</f>
        <v>12301.23137</v>
      </c>
      <c r="G11" s="8"/>
      <c r="H11" s="8"/>
      <c r="I11" s="104">
        <f>J71/D76</f>
        <v>8.642173268072309E-2</v>
      </c>
      <c r="J11" s="36"/>
      <c r="K11" s="60">
        <f>K71/((E76))</f>
        <v>8.4859155262004701E-2</v>
      </c>
      <c r="N11" s="4"/>
      <c r="O11" s="65"/>
      <c r="P11" s="65"/>
      <c r="Q11" s="65"/>
    </row>
    <row r="12" spans="1:17" x14ac:dyDescent="0.2">
      <c r="A12" s="13" t="str">
        <f>IF(F35&lt;0,"Abn. Rückstellungen","")</f>
        <v/>
      </c>
      <c r="B12" s="17"/>
      <c r="C12" s="23" t="str">
        <f>IF(F35&lt;0,-F35,"")</f>
        <v/>
      </c>
      <c r="D12" s="13" t="str">
        <f>IF(F32&gt;0,"Abnahme Debitoren","")</f>
        <v/>
      </c>
      <c r="E12" s="17"/>
      <c r="F12" s="23" t="str">
        <f>IF(F32&gt;0,F32,"")</f>
        <v/>
      </c>
      <c r="G12" s="8"/>
      <c r="H12" s="8"/>
      <c r="I12" s="111" t="s">
        <v>57</v>
      </c>
      <c r="J12" s="8"/>
      <c r="K12" s="8"/>
      <c r="N12" s="4"/>
      <c r="O12" s="65"/>
      <c r="P12" s="65"/>
      <c r="Q12" s="65"/>
    </row>
    <row r="13" spans="1:17" ht="13.5" thickBot="1" x14ac:dyDescent="0.25">
      <c r="A13" s="13" t="str">
        <f>IF(F36&lt;0,"Abnahme Kreditoren","")</f>
        <v>Abnahme Kreditoren</v>
      </c>
      <c r="B13" s="17"/>
      <c r="C13" s="23">
        <f>IF(F36&lt;0,-F36,"")</f>
        <v>486.60333999999966</v>
      </c>
      <c r="D13" s="13" t="str">
        <f>IF(F33&gt;0,"Bestandsabbau","")</f>
        <v/>
      </c>
      <c r="E13" s="17"/>
      <c r="F13" s="23" t="str">
        <f>IF(F33&gt;0,F33,"")</f>
        <v/>
      </c>
      <c r="G13" s="8"/>
      <c r="H13" s="8"/>
      <c r="I13" s="8"/>
      <c r="J13" s="8"/>
      <c r="K13" s="8"/>
      <c r="N13" s="4"/>
      <c r="O13" s="4"/>
      <c r="P13" s="4"/>
      <c r="Q13" s="4"/>
    </row>
    <row r="14" spans="1:17" x14ac:dyDescent="0.2">
      <c r="A14" s="13" t="str">
        <f>IF(F47&gt;0,"Aufbau FlüMi","")</f>
        <v/>
      </c>
      <c r="B14" s="17"/>
      <c r="C14" s="23" t="str">
        <f>IF(F47&gt;0,F47,"")</f>
        <v/>
      </c>
      <c r="D14" s="13" t="str">
        <f>IF(F34&gt;0,"Zunahme Anzahlungen","")</f>
        <v/>
      </c>
      <c r="E14" s="17"/>
      <c r="F14" s="23" t="str">
        <f>IF(F34&gt;0,F34,"")</f>
        <v/>
      </c>
      <c r="G14" s="8"/>
      <c r="H14" s="8"/>
      <c r="I14" s="149" t="s">
        <v>46</v>
      </c>
      <c r="J14" s="150"/>
      <c r="K14" s="151"/>
      <c r="N14" s="4"/>
      <c r="O14" s="67"/>
      <c r="P14" s="67"/>
      <c r="Q14" s="67"/>
    </row>
    <row r="15" spans="1:17" x14ac:dyDescent="0.2">
      <c r="A15" s="13" t="str">
        <f>IF(F43&lt;0,"Abn. lafri Schulden","")</f>
        <v/>
      </c>
      <c r="B15" s="17"/>
      <c r="C15" s="23" t="str">
        <f>IF(F43&lt;0,-F43,"")</f>
        <v/>
      </c>
      <c r="D15" s="13" t="str">
        <f>IF(F35&gt;0,"Zunahme Rückstellungen","")</f>
        <v>Zunahme Rückstellungen</v>
      </c>
      <c r="E15" s="17"/>
      <c r="F15" s="23">
        <f>IF(F35&gt;0,F35,"")</f>
        <v>3006.1637700000047</v>
      </c>
      <c r="G15" s="8"/>
      <c r="H15" s="8"/>
      <c r="I15" s="13"/>
      <c r="J15" s="17"/>
      <c r="K15" s="23"/>
      <c r="N15" s="4"/>
      <c r="O15" s="67"/>
      <c r="P15" s="67"/>
      <c r="Q15" s="67"/>
    </row>
    <row r="16" spans="1:17" x14ac:dyDescent="0.2">
      <c r="A16" s="13" t="str">
        <f>IF(F44&lt;0,"Abn. kufri Schulden","")</f>
        <v>Abn. kufri Schulden</v>
      </c>
      <c r="B16" s="17"/>
      <c r="C16" s="23">
        <f>IF(F44&lt;0,-F44,"")</f>
        <v>1190.0033700000004</v>
      </c>
      <c r="D16" s="13" t="str">
        <f>IF(F36&gt;0,"Zunahme Kreditoren","")</f>
        <v/>
      </c>
      <c r="E16" s="17"/>
      <c r="F16" s="23" t="str">
        <f>IF(F36&gt;0,F36,"")</f>
        <v/>
      </c>
      <c r="G16" s="8"/>
      <c r="H16" s="8"/>
      <c r="I16" s="13"/>
      <c r="J16" s="37" t="s">
        <v>9</v>
      </c>
      <c r="K16" s="23"/>
    </row>
    <row r="17" spans="1:14" x14ac:dyDescent="0.2">
      <c r="A17" s="13"/>
      <c r="B17" s="17"/>
      <c r="C17" s="17"/>
      <c r="D17" s="13" t="str">
        <f>IF(F47&lt;0,"Abbau FlüMi","")</f>
        <v>Abbau FlüMi</v>
      </c>
      <c r="E17" s="17"/>
      <c r="F17" s="23">
        <f>IF(F47&lt;0,-F47,"")</f>
        <v>1304.5430299999989</v>
      </c>
      <c r="G17" s="8"/>
      <c r="H17" s="8"/>
      <c r="I17" s="13"/>
      <c r="J17" s="30" t="s">
        <v>0</v>
      </c>
      <c r="K17" s="23"/>
    </row>
    <row r="18" spans="1:14" x14ac:dyDescent="0.2">
      <c r="A18" s="13"/>
      <c r="B18" s="17"/>
      <c r="C18" s="17"/>
      <c r="D18" s="13" t="str">
        <f>IF(F43&gt;0,"Zunahme lafri Schulden","")</f>
        <v/>
      </c>
      <c r="E18" s="17"/>
      <c r="F18" s="23" t="str">
        <f>IF(F43&gt;0,F43,"")</f>
        <v/>
      </c>
      <c r="G18" s="8"/>
      <c r="H18" s="8"/>
      <c r="I18" s="13"/>
      <c r="J18" s="17"/>
      <c r="K18" s="23"/>
    </row>
    <row r="19" spans="1:14" ht="13.5" thickBot="1" x14ac:dyDescent="0.25">
      <c r="A19" s="13"/>
      <c r="B19" s="17"/>
      <c r="C19" s="59"/>
      <c r="D19" s="13" t="str">
        <f>IF(F44&gt;0,"Zunahme kufri Schulden","")</f>
        <v/>
      </c>
      <c r="E19" s="17"/>
      <c r="F19" s="59" t="str">
        <f>IF(F44&gt;0,F44,"")</f>
        <v/>
      </c>
      <c r="G19" s="8"/>
      <c r="H19" s="8"/>
      <c r="I19" s="107" t="str">
        <f>I37</f>
        <v>Vorjahr</v>
      </c>
      <c r="J19" s="17"/>
      <c r="K19" s="108">
        <f>K37</f>
        <v>2004</v>
      </c>
    </row>
    <row r="20" spans="1:14" ht="14.25" thickTop="1" thickBot="1" x14ac:dyDescent="0.25">
      <c r="A20" s="73"/>
      <c r="B20" s="74"/>
      <c r="C20" s="74">
        <f>SUM(C8:C19)</f>
        <v>16611.938170000001</v>
      </c>
      <c r="D20" s="73"/>
      <c r="E20" s="74"/>
      <c r="F20" s="75">
        <f>SUM(F11:F19)</f>
        <v>16611.938170000001</v>
      </c>
      <c r="G20" s="8"/>
      <c r="H20" s="8"/>
      <c r="I20" s="104">
        <f>J77/J62</f>
        <v>8.8957036908416998E-2</v>
      </c>
      <c r="J20" s="36"/>
      <c r="K20" s="105">
        <f>F30/K62</f>
        <v>0.11373703085450548</v>
      </c>
    </row>
    <row r="21" spans="1:14" x14ac:dyDescent="0.2">
      <c r="B21" s="8"/>
      <c r="C21" s="8"/>
      <c r="D21" s="8"/>
      <c r="E21" s="8"/>
      <c r="F21" s="8"/>
      <c r="G21" s="8"/>
      <c r="H21" s="8"/>
      <c r="I21" s="8"/>
      <c r="J21" s="8"/>
      <c r="K21" s="8"/>
    </row>
    <row r="22" spans="1:14" ht="13.5" thickBot="1" x14ac:dyDescent="0.25">
      <c r="B22" s="8"/>
      <c r="C22" s="8"/>
      <c r="D22" s="8"/>
      <c r="E22" s="8"/>
      <c r="F22" s="8"/>
      <c r="G22" s="8"/>
      <c r="H22" s="8"/>
      <c r="I22" s="8"/>
      <c r="J22" s="8"/>
      <c r="K22" s="8"/>
    </row>
    <row r="23" spans="1:14" ht="16.5" thickBot="1" x14ac:dyDescent="0.3">
      <c r="A23" s="53" t="s">
        <v>24</v>
      </c>
      <c r="B23" s="3"/>
      <c r="C23" s="3"/>
      <c r="D23" s="3"/>
      <c r="E23" s="3"/>
      <c r="F23" s="54"/>
      <c r="G23" s="8"/>
      <c r="H23" s="8"/>
      <c r="I23" s="149" t="s">
        <v>45</v>
      </c>
      <c r="J23" s="150"/>
      <c r="K23" s="151"/>
    </row>
    <row r="24" spans="1:14" ht="13.5" thickBot="1" x14ac:dyDescent="0.25">
      <c r="A24" s="15"/>
      <c r="B24" s="16"/>
      <c r="C24" s="16"/>
      <c r="D24" s="16"/>
      <c r="E24" s="16"/>
      <c r="F24" s="78">
        <f>E60</f>
        <v>2004</v>
      </c>
      <c r="G24" s="8"/>
      <c r="H24" s="8"/>
      <c r="I24" s="13"/>
      <c r="J24" s="17"/>
      <c r="K24" s="23"/>
    </row>
    <row r="25" spans="1:14" x14ac:dyDescent="0.2">
      <c r="A25" s="13"/>
      <c r="B25" s="17"/>
      <c r="C25" s="17"/>
      <c r="D25" s="17"/>
      <c r="E25" s="17"/>
      <c r="F25" s="18"/>
      <c r="G25" s="8"/>
      <c r="H25" s="8"/>
      <c r="I25" s="13"/>
      <c r="J25" s="21" t="s">
        <v>16</v>
      </c>
      <c r="K25" s="23"/>
      <c r="M25" s="62"/>
    </row>
    <row r="26" spans="1:14" x14ac:dyDescent="0.2">
      <c r="A26" s="13" t="s">
        <v>26</v>
      </c>
      <c r="B26" s="17"/>
      <c r="C26" s="17"/>
      <c r="D26" s="17"/>
      <c r="E26" s="17"/>
      <c r="F26" s="22">
        <f>$K74</f>
        <v>10626.666499999999</v>
      </c>
      <c r="G26" s="8"/>
      <c r="H26" s="8"/>
      <c r="I26" s="13"/>
      <c r="J26" s="30" t="s">
        <v>11</v>
      </c>
      <c r="K26" s="23"/>
    </row>
    <row r="27" spans="1:14" x14ac:dyDescent="0.2">
      <c r="A27" s="13" t="s">
        <v>5</v>
      </c>
      <c r="B27" s="17"/>
      <c r="C27" s="17"/>
      <c r="D27" s="17"/>
      <c r="E27" s="17"/>
      <c r="F27" s="22">
        <f>$K65</f>
        <v>1299.1458700000001</v>
      </c>
      <c r="G27" s="8"/>
      <c r="H27" s="8"/>
      <c r="I27" s="13"/>
      <c r="J27" s="17"/>
      <c r="K27" s="23"/>
    </row>
    <row r="28" spans="1:14" x14ac:dyDescent="0.2">
      <c r="A28" s="13" t="s">
        <v>44</v>
      </c>
      <c r="B28" s="17"/>
      <c r="C28" s="17"/>
      <c r="D28" s="17"/>
      <c r="E28" s="17"/>
      <c r="F28" s="22">
        <f>$E68-$D68</f>
        <v>375.41899999999987</v>
      </c>
      <c r="G28" s="8"/>
      <c r="H28" s="8"/>
      <c r="I28" s="107" t="str">
        <f>I37</f>
        <v>Vorjahr</v>
      </c>
      <c r="J28" s="17"/>
      <c r="K28" s="108">
        <f>K46</f>
        <v>2004</v>
      </c>
    </row>
    <row r="29" spans="1:14" ht="13.5" thickBot="1" x14ac:dyDescent="0.25">
      <c r="A29" s="13"/>
      <c r="B29" s="17"/>
      <c r="C29" s="17"/>
      <c r="D29" s="17"/>
      <c r="E29" s="17"/>
      <c r="F29" s="22"/>
      <c r="G29" s="8"/>
      <c r="H29" s="8"/>
      <c r="I29" s="77">
        <f>J71/J68</f>
        <v>9.0219297515235741</v>
      </c>
      <c r="J29" s="36"/>
      <c r="K29" s="63">
        <f>K71/K68</f>
        <v>11.269272284567583</v>
      </c>
    </row>
    <row r="30" spans="1:14" x14ac:dyDescent="0.2">
      <c r="A30" s="24" t="s">
        <v>6</v>
      </c>
      <c r="B30" s="14"/>
      <c r="C30" s="14"/>
      <c r="D30" s="14"/>
      <c r="E30" s="14"/>
      <c r="F30" s="25">
        <f>SUM(F26:F28)</f>
        <v>12301.23137</v>
      </c>
      <c r="G30" s="8"/>
      <c r="H30" s="8"/>
      <c r="I30" s="8"/>
      <c r="J30" s="8"/>
      <c r="K30" s="8"/>
    </row>
    <row r="31" spans="1:14" ht="13.5" thickBot="1" x14ac:dyDescent="0.25">
      <c r="A31" s="13"/>
      <c r="B31" s="17"/>
      <c r="C31" s="17"/>
      <c r="D31" s="17"/>
      <c r="E31" s="17"/>
      <c r="F31" s="22"/>
      <c r="G31" s="8"/>
      <c r="H31" s="8"/>
      <c r="I31" s="8"/>
      <c r="J31" s="8"/>
      <c r="K31" s="8"/>
    </row>
    <row r="32" spans="1:14" x14ac:dyDescent="0.2">
      <c r="A32" s="26" t="str">
        <f>IF(D63-E63&lt;0,"- zunehmende Debitoren","+ abnehmende Debitoren")</f>
        <v>- zunehmende Debitoren</v>
      </c>
      <c r="B32" s="17"/>
      <c r="C32" s="17"/>
      <c r="D32" s="17"/>
      <c r="E32" s="17"/>
      <c r="F32" s="22">
        <f>$D63-$E63</f>
        <v>-1782.7357800000027</v>
      </c>
      <c r="G32" s="8"/>
      <c r="H32" s="8"/>
      <c r="I32" s="149" t="s">
        <v>17</v>
      </c>
      <c r="J32" s="150"/>
      <c r="K32" s="151"/>
      <c r="L32"/>
      <c r="M32"/>
      <c r="N32"/>
    </row>
    <row r="33" spans="1:14" x14ac:dyDescent="0.2">
      <c r="A33" s="26" t="str">
        <f>IF(D64-E64&lt;0,"- zunehmende Bestände","+ abnehmende Bestände")</f>
        <v>- zunehmende Bestände</v>
      </c>
      <c r="B33" s="17"/>
      <c r="C33" s="17"/>
      <c r="D33" s="17"/>
      <c r="E33" s="17"/>
      <c r="F33" s="22">
        <f>$D64-$E64</f>
        <v>-4336.7352800000008</v>
      </c>
      <c r="G33" s="8"/>
      <c r="H33" s="8"/>
      <c r="I33" s="13"/>
      <c r="J33" s="17"/>
      <c r="K33" s="23"/>
      <c r="L33"/>
      <c r="M33"/>
      <c r="N33"/>
    </row>
    <row r="34" spans="1:14" x14ac:dyDescent="0.2">
      <c r="A34" s="26" t="str">
        <f>IF(E72-D72&gt;0,"+ zunehmende Anzahlungen","- abnehmende Anzahlungen")</f>
        <v>- abnehmende Anzahlungen</v>
      </c>
      <c r="B34" s="17"/>
      <c r="C34" s="17"/>
      <c r="D34" s="17"/>
      <c r="E34" s="17"/>
      <c r="F34" s="22">
        <f>$E72-$D72</f>
        <v>0</v>
      </c>
      <c r="G34" s="8"/>
      <c r="H34" s="8"/>
      <c r="I34" s="13"/>
      <c r="J34" s="10" t="s">
        <v>16</v>
      </c>
      <c r="K34" s="23"/>
    </row>
    <row r="35" spans="1:14" x14ac:dyDescent="0.2">
      <c r="A35" s="26" t="str">
        <f>IF(E71-D71&lt;0,"- abnehmende Rückstellungen","+ zunehmende Rückstellungen")</f>
        <v>+ zunehmende Rückstellungen</v>
      </c>
      <c r="B35" s="17"/>
      <c r="C35" s="17"/>
      <c r="D35" s="17"/>
      <c r="E35" s="17"/>
      <c r="F35" s="22">
        <f>$E71-$D71</f>
        <v>3006.1637700000047</v>
      </c>
      <c r="G35" s="8"/>
      <c r="H35" s="8"/>
      <c r="I35" s="13"/>
      <c r="J35" s="30" t="s">
        <v>0</v>
      </c>
      <c r="K35" s="23"/>
    </row>
    <row r="36" spans="1:14" x14ac:dyDescent="0.2">
      <c r="A36" s="26" t="str">
        <f>IF(E73-D73&gt;0,"+ zunehmende Kreditoren","- abnehmende Kreditoren")</f>
        <v>- abnehmende Kreditoren</v>
      </c>
      <c r="B36" s="17"/>
      <c r="C36" s="17"/>
      <c r="D36" s="17"/>
      <c r="E36" s="17"/>
      <c r="F36" s="22">
        <f>$E73-$D73</f>
        <v>-486.60333999999966</v>
      </c>
      <c r="G36" s="8"/>
      <c r="H36" s="8"/>
      <c r="I36" s="13"/>
      <c r="J36" s="17"/>
      <c r="K36" s="23"/>
    </row>
    <row r="37" spans="1:14" x14ac:dyDescent="0.2">
      <c r="A37" s="14" t="s">
        <v>55</v>
      </c>
      <c r="B37" s="14"/>
      <c r="C37" s="14"/>
      <c r="D37" s="14"/>
      <c r="E37" s="14"/>
      <c r="F37" s="25">
        <f>SUM(F32:F36)</f>
        <v>-3599.9106299999985</v>
      </c>
      <c r="G37" s="8"/>
      <c r="H37" s="8"/>
      <c r="I37" s="107" t="str">
        <f>D60</f>
        <v>Vorjahr</v>
      </c>
      <c r="J37" s="17"/>
      <c r="K37" s="108">
        <f>E60</f>
        <v>2004</v>
      </c>
    </row>
    <row r="38" spans="1:14" ht="13.5" thickBot="1" x14ac:dyDescent="0.25">
      <c r="A38" s="24" t="s">
        <v>7</v>
      </c>
      <c r="B38" s="14"/>
      <c r="C38" s="14"/>
      <c r="D38" s="14"/>
      <c r="E38" s="14"/>
      <c r="F38" s="25">
        <f>SUM(F30:F36)</f>
        <v>8701.320740000001</v>
      </c>
      <c r="G38" s="8"/>
      <c r="H38" s="8"/>
      <c r="I38" s="104">
        <f>J71/J62</f>
        <v>4.0233055144075977E-2</v>
      </c>
      <c r="J38" s="36"/>
      <c r="K38" s="105">
        <f>K71/K62</f>
        <v>3.595204313790152E-2</v>
      </c>
    </row>
    <row r="39" spans="1:14" x14ac:dyDescent="0.2">
      <c r="A39" s="13"/>
      <c r="B39" s="17"/>
      <c r="C39" s="17"/>
      <c r="D39" s="17"/>
      <c r="E39" s="17"/>
      <c r="F39" s="22"/>
      <c r="G39" s="8"/>
      <c r="H39" s="8"/>
      <c r="I39" s="8"/>
      <c r="J39" s="8"/>
      <c r="K39" s="8"/>
    </row>
    <row r="40" spans="1:14" ht="13.5" thickBot="1" x14ac:dyDescent="0.25">
      <c r="A40" s="13" t="s">
        <v>54</v>
      </c>
      <c r="B40" s="17"/>
      <c r="C40" s="17"/>
      <c r="D40" s="17"/>
      <c r="E40" s="17"/>
      <c r="F40" s="22">
        <f>-$E61+$D61-$K65</f>
        <v>-8815.8603999999996</v>
      </c>
      <c r="G40" s="8"/>
      <c r="H40" s="8"/>
      <c r="I40" s="8"/>
      <c r="J40" s="8"/>
      <c r="K40" s="8"/>
    </row>
    <row r="41" spans="1:14" x14ac:dyDescent="0.2">
      <c r="A41" s="24" t="s">
        <v>8</v>
      </c>
      <c r="B41" s="14"/>
      <c r="C41" s="14"/>
      <c r="D41" s="14"/>
      <c r="E41" s="14"/>
      <c r="F41" s="25">
        <f>F38+F40</f>
        <v>-114.53965999999855</v>
      </c>
      <c r="G41" s="8"/>
      <c r="H41" s="8"/>
      <c r="I41" s="160" t="s">
        <v>47</v>
      </c>
      <c r="J41" s="161"/>
      <c r="K41" s="162"/>
    </row>
    <row r="42" spans="1:14" x14ac:dyDescent="0.2">
      <c r="A42" s="26"/>
      <c r="B42" s="17"/>
      <c r="C42" s="17"/>
      <c r="D42" s="17"/>
      <c r="E42" s="17"/>
      <c r="F42" s="22"/>
      <c r="G42" s="8"/>
      <c r="H42" s="8"/>
      <c r="I42" s="13"/>
      <c r="J42" s="17"/>
      <c r="K42" s="23"/>
    </row>
    <row r="43" spans="1:14" x14ac:dyDescent="0.2">
      <c r="A43" s="13" t="str">
        <f>IF(E68-D68&gt;0,"+ zunehmende Schulden (lafri)","- abnehmende Schulden (lafri)")</f>
        <v>+ zunehmende Schulden (lafri)</v>
      </c>
      <c r="B43" s="17"/>
      <c r="C43" s="17"/>
      <c r="D43" s="17"/>
      <c r="E43" s="17"/>
      <c r="F43" s="22">
        <f>$E69-$D69</f>
        <v>0</v>
      </c>
      <c r="G43" s="8"/>
      <c r="H43" s="8"/>
      <c r="I43" s="13"/>
      <c r="J43" s="10" t="s">
        <v>13</v>
      </c>
      <c r="K43" s="23"/>
    </row>
    <row r="44" spans="1:14" x14ac:dyDescent="0.2">
      <c r="A44" s="26" t="str">
        <f>IF(E73-D73&gt;0,"+ zunehmende Schulden (kufri)","- abnehmende Schulden (kufri)")</f>
        <v>- abnehmende Schulden (kufri)</v>
      </c>
      <c r="B44" s="26"/>
      <c r="C44" s="17"/>
      <c r="D44" s="17"/>
      <c r="E44" s="17"/>
      <c r="F44" s="22">
        <f>$E74-$D74</f>
        <v>-1190.0033700000004</v>
      </c>
      <c r="G44" s="8"/>
      <c r="H44" s="8"/>
      <c r="I44" s="13"/>
      <c r="J44" s="30" t="s">
        <v>18</v>
      </c>
      <c r="K44" s="23"/>
    </row>
    <row r="45" spans="1:14" x14ac:dyDescent="0.2">
      <c r="A45" s="26"/>
      <c r="B45" s="17"/>
      <c r="C45" s="17"/>
      <c r="D45" s="17"/>
      <c r="E45" s="17"/>
      <c r="F45" s="22"/>
      <c r="G45" s="8"/>
      <c r="H45" s="8"/>
      <c r="I45" s="13"/>
      <c r="J45" s="17"/>
      <c r="K45" s="23"/>
    </row>
    <row r="46" spans="1:14" x14ac:dyDescent="0.2">
      <c r="A46" s="14" t="s">
        <v>56</v>
      </c>
      <c r="B46" s="14"/>
      <c r="C46" s="14"/>
      <c r="D46" s="14"/>
      <c r="E46" s="14"/>
      <c r="F46" s="25">
        <f>SUM(F43:F45)</f>
        <v>-1190.0033700000004</v>
      </c>
      <c r="G46" s="8"/>
      <c r="H46" s="8"/>
      <c r="I46" s="107" t="str">
        <f>D60</f>
        <v>Vorjahr</v>
      </c>
      <c r="J46" s="17"/>
      <c r="K46" s="108">
        <f>E60</f>
        <v>2004</v>
      </c>
    </row>
    <row r="47" spans="1:14" ht="13.5" thickBot="1" x14ac:dyDescent="0.25">
      <c r="A47" s="27" t="s">
        <v>10</v>
      </c>
      <c r="B47" s="28"/>
      <c r="C47" s="28"/>
      <c r="D47" s="28"/>
      <c r="E47" s="28"/>
      <c r="F47" s="29">
        <f>SUM(F41:F45)</f>
        <v>-1304.5430299999989</v>
      </c>
      <c r="G47" s="8"/>
      <c r="H47" s="8"/>
      <c r="I47" s="104">
        <f>D67/D76</f>
        <v>0</v>
      </c>
      <c r="J47" s="36"/>
      <c r="K47" s="105">
        <f>E67/E76</f>
        <v>0.15834025514606206</v>
      </c>
    </row>
    <row r="48" spans="1:14" x14ac:dyDescent="0.2">
      <c r="A48" s="17"/>
      <c r="B48" s="17"/>
      <c r="C48" s="17"/>
      <c r="D48" s="17"/>
      <c r="E48" s="17"/>
      <c r="F48" s="17"/>
      <c r="G48" s="8"/>
      <c r="H48" s="8"/>
      <c r="I48" s="8"/>
      <c r="J48" s="8"/>
      <c r="K48" s="8"/>
    </row>
    <row r="49" spans="1:13" ht="13.5" thickBot="1" x14ac:dyDescent="0.25">
      <c r="A49" s="17"/>
      <c r="B49" s="17"/>
      <c r="C49" s="17"/>
      <c r="D49" s="17"/>
      <c r="E49" s="17"/>
      <c r="F49" s="17"/>
      <c r="G49" s="8"/>
      <c r="H49" s="8"/>
      <c r="I49" s="8"/>
      <c r="J49" s="8"/>
      <c r="K49" s="8"/>
    </row>
    <row r="50" spans="1:13" x14ac:dyDescent="0.2">
      <c r="A50" s="149" t="s">
        <v>48</v>
      </c>
      <c r="B50" s="150"/>
      <c r="C50" s="151"/>
      <c r="D50" s="149" t="s">
        <v>49</v>
      </c>
      <c r="E50" s="158"/>
      <c r="F50" s="158"/>
      <c r="G50" s="158"/>
      <c r="H50" s="159"/>
      <c r="I50" s="39"/>
      <c r="J50" s="45" t="s">
        <v>50</v>
      </c>
      <c r="K50" s="33"/>
    </row>
    <row r="51" spans="1:13" x14ac:dyDescent="0.2">
      <c r="A51" s="13"/>
      <c r="B51" s="17"/>
      <c r="C51" s="23"/>
      <c r="D51" s="13"/>
      <c r="E51" s="17"/>
      <c r="F51" s="17"/>
      <c r="G51" s="17"/>
      <c r="H51" s="23"/>
      <c r="I51" s="42"/>
      <c r="J51" s="17"/>
      <c r="K51" s="23"/>
    </row>
    <row r="52" spans="1:13" x14ac:dyDescent="0.2">
      <c r="A52" s="40"/>
      <c r="B52" s="31" t="s">
        <v>23</v>
      </c>
      <c r="C52" s="44"/>
      <c r="D52" s="46"/>
      <c r="E52" s="31" t="s">
        <v>21</v>
      </c>
      <c r="F52" s="32"/>
      <c r="G52" s="17"/>
      <c r="H52" s="23"/>
      <c r="I52" s="34" t="s">
        <v>19</v>
      </c>
      <c r="J52" s="9"/>
      <c r="K52" s="35"/>
    </row>
    <row r="53" spans="1:13" x14ac:dyDescent="0.2">
      <c r="A53" s="13"/>
      <c r="B53" s="30" t="s">
        <v>9</v>
      </c>
      <c r="C53" s="23"/>
      <c r="D53" s="13"/>
      <c r="E53" s="30" t="s">
        <v>22</v>
      </c>
      <c r="F53" s="17"/>
      <c r="G53" s="17"/>
      <c r="H53" s="23"/>
      <c r="I53" s="13"/>
      <c r="J53" s="43" t="s">
        <v>20</v>
      </c>
      <c r="K53" s="23"/>
    </row>
    <row r="54" spans="1:13" x14ac:dyDescent="0.2">
      <c r="A54" s="13"/>
      <c r="B54" s="17"/>
      <c r="C54" s="23"/>
      <c r="D54" s="13"/>
      <c r="E54" s="17"/>
      <c r="F54" s="17"/>
      <c r="G54" s="17"/>
      <c r="H54" s="23"/>
      <c r="I54" s="42"/>
      <c r="J54" s="17"/>
      <c r="K54" s="23"/>
    </row>
    <row r="55" spans="1:13" x14ac:dyDescent="0.2">
      <c r="A55" s="107" t="str">
        <f>D60</f>
        <v>Vorjahr</v>
      </c>
      <c r="B55" s="17"/>
      <c r="C55" s="108">
        <f>E60</f>
        <v>2004</v>
      </c>
      <c r="D55" s="107" t="str">
        <f>D60</f>
        <v>Vorjahr</v>
      </c>
      <c r="E55" s="17"/>
      <c r="F55" s="109">
        <f>E60</f>
        <v>2004</v>
      </c>
      <c r="G55" s="17"/>
      <c r="H55" s="23"/>
      <c r="I55" s="107" t="str">
        <f>D60</f>
        <v>Vorjahr</v>
      </c>
      <c r="J55" s="17"/>
      <c r="K55" s="108">
        <f>E60</f>
        <v>2004</v>
      </c>
    </row>
    <row r="56" spans="1:13" ht="13.5" thickBot="1" x14ac:dyDescent="0.25">
      <c r="A56" s="77">
        <f>(D70+D75-D62)/J77</f>
        <v>4.5254603363135555</v>
      </c>
      <c r="B56" s="36"/>
      <c r="C56" s="63">
        <f>(E70+E75-E62)/F30</f>
        <v>3.1099364412653925</v>
      </c>
      <c r="D56" s="104">
        <f>(D62+D63)/D75</f>
        <v>0.78758383429945078</v>
      </c>
      <c r="E56" s="36"/>
      <c r="F56" s="106">
        <f>(E62+E63)/E75</f>
        <v>0.66611104937751231</v>
      </c>
      <c r="G56" s="36"/>
      <c r="H56" s="38"/>
      <c r="I56" s="104">
        <f>(D67+D70)/D61</f>
        <v>1.0989444123834371</v>
      </c>
      <c r="J56" s="36"/>
      <c r="K56" s="105">
        <f>(E67+E70)/E61</f>
        <v>1.0495741836656609</v>
      </c>
    </row>
    <row r="57" spans="1:13" x14ac:dyDescent="0.2">
      <c r="A57" s="4"/>
      <c r="B57" s="4"/>
      <c r="C57" s="4"/>
      <c r="D57" s="4"/>
      <c r="E57" s="4"/>
      <c r="F57" s="4"/>
    </row>
    <row r="59" spans="1:13" ht="13.5" thickBot="1" x14ac:dyDescent="0.25">
      <c r="A59" s="72" t="s">
        <v>36</v>
      </c>
      <c r="I59" s="148" t="s">
        <v>27</v>
      </c>
      <c r="J59" s="148"/>
      <c r="K59" s="148"/>
    </row>
    <row r="60" spans="1:13" ht="16.5" thickBot="1" x14ac:dyDescent="0.3">
      <c r="A60" s="79"/>
      <c r="B60" s="80"/>
      <c r="C60" s="81"/>
      <c r="D60" s="82" t="s">
        <v>59</v>
      </c>
      <c r="E60" s="83">
        <v>2004</v>
      </c>
      <c r="I60" s="15"/>
      <c r="J60" s="92" t="str">
        <f>D60</f>
        <v>Vorjahr</v>
      </c>
      <c r="K60" s="93">
        <f>E60</f>
        <v>2004</v>
      </c>
      <c r="M60" s="61"/>
    </row>
    <row r="61" spans="1:13" x14ac:dyDescent="0.2">
      <c r="A61" s="84" t="s">
        <v>28</v>
      </c>
      <c r="B61" s="85"/>
      <c r="C61" s="85"/>
      <c r="D61" s="86">
        <f>'Finanzbericht 2003'!E61</f>
        <v>5236.0419099999999</v>
      </c>
      <c r="E61" s="87">
        <v>12752.756439999999</v>
      </c>
      <c r="I61" s="94" t="s">
        <v>0</v>
      </c>
      <c r="J61" s="95"/>
      <c r="K61" s="96"/>
    </row>
    <row r="62" spans="1:13" x14ac:dyDescent="0.2">
      <c r="A62" s="13" t="s">
        <v>12</v>
      </c>
      <c r="B62" s="17"/>
      <c r="C62" s="17"/>
      <c r="D62" s="88">
        <f>'Finanzbericht 2003'!E62</f>
        <v>4986.0495000000001</v>
      </c>
      <c r="E62" s="41">
        <v>310.26589999999999</v>
      </c>
      <c r="I62" s="97"/>
      <c r="J62" s="88">
        <f>'Finanzbericht 2003'!K62</f>
        <v>79179.188569999998</v>
      </c>
      <c r="K62" s="41">
        <v>108155.0246</v>
      </c>
    </row>
    <row r="63" spans="1:13" ht="13.5" thickBot="1" x14ac:dyDescent="0.25">
      <c r="A63" s="13" t="s">
        <v>43</v>
      </c>
      <c r="B63" s="17"/>
      <c r="C63" s="17"/>
      <c r="D63" s="88">
        <f>'Finanzbericht 2003'!E63</f>
        <v>19513.49296</v>
      </c>
      <c r="E63" s="88">
        <f>21276.61114+19.6176</f>
        <v>21296.228740000002</v>
      </c>
      <c r="I63" s="98"/>
      <c r="J63" s="88"/>
      <c r="K63" s="99"/>
    </row>
    <row r="64" spans="1:13" x14ac:dyDescent="0.2">
      <c r="A64" s="13" t="s">
        <v>29</v>
      </c>
      <c r="B64" s="17"/>
      <c r="C64" s="17"/>
      <c r="D64" s="88">
        <f>'Finanzbericht 2003'!E64</f>
        <v>7125.7531799999997</v>
      </c>
      <c r="E64" s="41">
        <v>11462.48846</v>
      </c>
      <c r="I64" s="94" t="s">
        <v>5</v>
      </c>
      <c r="J64" s="95"/>
      <c r="K64" s="96"/>
    </row>
    <row r="65" spans="1:11" ht="13.5" thickBot="1" x14ac:dyDescent="0.25">
      <c r="A65" s="84" t="s">
        <v>30</v>
      </c>
      <c r="B65" s="85"/>
      <c r="C65" s="85"/>
      <c r="D65" s="86">
        <f>SUM(D62:D64)</f>
        <v>31625.29564</v>
      </c>
      <c r="E65" s="87">
        <f>SUM(E62:E64)</f>
        <v>33068.983099999998</v>
      </c>
      <c r="I65" s="97"/>
      <c r="J65" s="88">
        <f>'Finanzbericht 2003'!K65</f>
        <v>2420.0558799999999</v>
      </c>
      <c r="K65" s="41">
        <v>1299.1458700000001</v>
      </c>
    </row>
    <row r="66" spans="1:11" ht="16.5" thickBot="1" x14ac:dyDescent="0.3">
      <c r="A66" s="79" t="s">
        <v>31</v>
      </c>
      <c r="B66" s="80"/>
      <c r="C66" s="80"/>
      <c r="D66" s="89">
        <f>D61+D65</f>
        <v>36861.337549999997</v>
      </c>
      <c r="E66" s="90">
        <f>E61+E65</f>
        <v>45821.739539999995</v>
      </c>
      <c r="I66" s="98"/>
      <c r="J66" s="100"/>
      <c r="K66" s="99"/>
    </row>
    <row r="67" spans="1:11" x14ac:dyDescent="0.2">
      <c r="A67" s="84" t="s">
        <v>32</v>
      </c>
      <c r="B67" s="85"/>
      <c r="C67" s="85"/>
      <c r="D67" s="86">
        <f>'Finanzbericht 2003'!E67</f>
        <v>0</v>
      </c>
      <c r="E67" s="87">
        <v>7255.4259300000003</v>
      </c>
      <c r="I67" s="94" t="s">
        <v>11</v>
      </c>
      <c r="J67" s="88"/>
      <c r="K67" s="96"/>
    </row>
    <row r="68" spans="1:11" x14ac:dyDescent="0.2">
      <c r="A68" s="13" t="s">
        <v>39</v>
      </c>
      <c r="B68" s="17"/>
      <c r="C68" s="17"/>
      <c r="D68" s="88">
        <f>'Finanzbericht 2003'!E68</f>
        <v>5754.1189999999997</v>
      </c>
      <c r="E68" s="41">
        <f>5656538/1000+473</f>
        <v>6129.5379999999996</v>
      </c>
      <c r="I68" s="97"/>
      <c r="J68" s="88">
        <f>'Finanzbericht 2003'!K68</f>
        <v>353.09748000000002</v>
      </c>
      <c r="K68" s="41">
        <f>453.85282-108.80888</f>
        <v>345.04394000000002</v>
      </c>
    </row>
    <row r="69" spans="1:11" ht="13.5" thickBot="1" x14ac:dyDescent="0.25">
      <c r="A69" s="13" t="s">
        <v>38</v>
      </c>
      <c r="B69" s="17"/>
      <c r="C69" s="17"/>
      <c r="D69" s="88">
        <f>'Finanzbericht 2003'!E69</f>
        <v>0</v>
      </c>
      <c r="E69" s="41">
        <v>0</v>
      </c>
      <c r="I69" s="97"/>
      <c r="J69" s="88"/>
      <c r="K69" s="41"/>
    </row>
    <row r="70" spans="1:11" x14ac:dyDescent="0.2">
      <c r="A70" s="84" t="s">
        <v>33</v>
      </c>
      <c r="B70" s="85"/>
      <c r="C70" s="85"/>
      <c r="D70" s="86">
        <f>SUM(D68:D69)</f>
        <v>5754.1189999999997</v>
      </c>
      <c r="E70" s="87">
        <f>SUM(E68:E69)</f>
        <v>6129.5379999999996</v>
      </c>
      <c r="I70" s="94" t="s">
        <v>16</v>
      </c>
      <c r="J70" s="95"/>
      <c r="K70" s="96"/>
    </row>
    <row r="71" spans="1:11" x14ac:dyDescent="0.2">
      <c r="A71" s="13" t="s">
        <v>42</v>
      </c>
      <c r="B71" s="17"/>
      <c r="C71" s="17"/>
      <c r="D71" s="88">
        <f>'Finanzbericht 2003'!E71</f>
        <v>15306.60752</v>
      </c>
      <c r="E71" s="41">
        <f>19113811.53/1000-E68+5324.99776+3.5</f>
        <v>18312.771290000004</v>
      </c>
      <c r="I71" s="97"/>
      <c r="J71" s="88">
        <f>'Finanzbericht 2003'!K71</f>
        <v>3185.62066</v>
      </c>
      <c r="K71" s="41">
        <v>3888.3941100000002</v>
      </c>
    </row>
    <row r="72" spans="1:11" ht="13.5" thickBot="1" x14ac:dyDescent="0.25">
      <c r="A72" s="13" t="s">
        <v>37</v>
      </c>
      <c r="B72" s="17"/>
      <c r="C72" s="17"/>
      <c r="D72" s="88">
        <f>'Finanzbericht 2003'!E72</f>
        <v>0</v>
      </c>
      <c r="E72" s="41">
        <v>0</v>
      </c>
      <c r="I72" s="98"/>
      <c r="J72" s="100"/>
      <c r="K72" s="99"/>
    </row>
    <row r="73" spans="1:11" x14ac:dyDescent="0.2">
      <c r="A73" s="13" t="s">
        <v>41</v>
      </c>
      <c r="B73" s="17"/>
      <c r="C73" s="17"/>
      <c r="D73" s="88">
        <f>'Finanzbericht 2003'!E73</f>
        <v>6698.8016899999993</v>
      </c>
      <c r="E73" s="88">
        <v>6212.1983499999997</v>
      </c>
      <c r="I73" s="94" t="s">
        <v>4</v>
      </c>
      <c r="J73" s="88"/>
      <c r="K73" s="96"/>
    </row>
    <row r="74" spans="1:11" s="56" customFormat="1" x14ac:dyDescent="0.2">
      <c r="A74" s="13" t="s">
        <v>40</v>
      </c>
      <c r="B74" s="17"/>
      <c r="C74" s="17"/>
      <c r="D74" s="88">
        <f>'Finanzbericht 2003'!E74</f>
        <v>9101.8093399999998</v>
      </c>
      <c r="E74" s="41">
        <f>7161805.97/1000+750</f>
        <v>7911.8059699999994</v>
      </c>
      <c r="I74" s="97"/>
      <c r="J74" s="88">
        <f>'Finanzbericht 2003'!K74</f>
        <v>2827.55512</v>
      </c>
      <c r="K74" s="41">
        <v>10626.666499999999</v>
      </c>
    </row>
    <row r="75" spans="1:11" ht="13.5" thickBot="1" x14ac:dyDescent="0.25">
      <c r="A75" s="84" t="s">
        <v>34</v>
      </c>
      <c r="B75" s="85"/>
      <c r="C75" s="85"/>
      <c r="D75" s="86">
        <f>SUM(D71:D74)</f>
        <v>31107.218549999998</v>
      </c>
      <c r="E75" s="87">
        <f>SUM(E71:E74)</f>
        <v>32436.775610000004</v>
      </c>
      <c r="I75" s="101"/>
      <c r="J75" s="100"/>
      <c r="K75" s="99"/>
    </row>
    <row r="76" spans="1:11" ht="16.5" thickBot="1" x14ac:dyDescent="0.3">
      <c r="A76" s="79" t="s">
        <v>35</v>
      </c>
      <c r="B76" s="80"/>
      <c r="C76" s="80"/>
      <c r="D76" s="89">
        <f>D75+D70+D67</f>
        <v>36861.337549999997</v>
      </c>
      <c r="E76" s="90">
        <f>E75+E70+E67</f>
        <v>45821.739540000002</v>
      </c>
      <c r="I76" s="12" t="s">
        <v>9</v>
      </c>
      <c r="J76" s="102"/>
      <c r="K76" s="33"/>
    </row>
    <row r="77" spans="1:11" ht="13.5" thickBot="1" x14ac:dyDescent="0.25">
      <c r="A77" s="8"/>
      <c r="B77" s="8"/>
      <c r="C77" s="8"/>
      <c r="D77" s="8"/>
      <c r="E77" s="91" t="str">
        <f>IF(E76=E66, "i.O.", "Fehler!")</f>
        <v>i.O.</v>
      </c>
      <c r="I77" s="13"/>
      <c r="J77" s="112">
        <f>'Finanzbericht 2003'!K77</f>
        <v>7043.5459999999994</v>
      </c>
      <c r="K77" s="41">
        <f>F30</f>
        <v>12301.23137</v>
      </c>
    </row>
    <row r="78" spans="1:11" ht="13.5" thickBot="1" x14ac:dyDescent="0.25">
      <c r="I78" s="101"/>
      <c r="J78" s="103"/>
      <c r="K78" s="38"/>
    </row>
    <row r="82" spans="1:6" x14ac:dyDescent="0.2">
      <c r="A82" s="17"/>
      <c r="B82" s="17"/>
      <c r="C82" s="17"/>
      <c r="D82" s="30"/>
      <c r="E82" s="30"/>
      <c r="F82" s="4"/>
    </row>
    <row r="83" spans="1:6" x14ac:dyDescent="0.2">
      <c r="A83" s="17"/>
      <c r="B83" s="17"/>
      <c r="C83" s="17"/>
      <c r="D83" s="30"/>
      <c r="E83" s="30"/>
      <c r="F83" s="4"/>
    </row>
    <row r="84" spans="1:6" x14ac:dyDescent="0.2">
      <c r="A84" s="4"/>
      <c r="B84" s="4"/>
      <c r="C84" s="4"/>
      <c r="D84" s="4"/>
      <c r="E84" s="4"/>
      <c r="F84" s="4"/>
    </row>
    <row r="90" spans="1:6" x14ac:dyDescent="0.2">
      <c r="A90" s="64"/>
      <c r="B90" s="4"/>
      <c r="C90" s="4"/>
    </row>
    <row r="91" spans="1:6" x14ac:dyDescent="0.2">
      <c r="A91" s="4"/>
      <c r="B91" s="4"/>
      <c r="C91" s="4"/>
    </row>
    <row r="92" spans="1:6" x14ac:dyDescent="0.2">
      <c r="A92" s="4"/>
      <c r="B92" s="68"/>
      <c r="C92" s="68"/>
    </row>
    <row r="93" spans="1:6" x14ac:dyDescent="0.2">
      <c r="A93" s="4"/>
      <c r="B93" s="4"/>
      <c r="C93" s="4"/>
    </row>
    <row r="94" spans="1:6" x14ac:dyDescent="0.2">
      <c r="A94" s="69"/>
      <c r="B94" s="4"/>
      <c r="C94" s="4"/>
    </row>
    <row r="95" spans="1:6" x14ac:dyDescent="0.2">
      <c r="A95" s="4"/>
      <c r="B95" s="4"/>
      <c r="C95" s="4"/>
    </row>
    <row r="96" spans="1:6" x14ac:dyDescent="0.2">
      <c r="A96" s="4"/>
      <c r="B96" s="67"/>
      <c r="C96" s="67"/>
    </row>
    <row r="97" spans="1:3" x14ac:dyDescent="0.2">
      <c r="A97" s="4"/>
      <c r="B97" s="68"/>
      <c r="C97" s="68"/>
    </row>
    <row r="98" spans="1:3" x14ac:dyDescent="0.2">
      <c r="A98" s="4"/>
      <c r="B98" s="4"/>
      <c r="C98" s="4"/>
    </row>
    <row r="99" spans="1:3" x14ac:dyDescent="0.2">
      <c r="A99" s="4"/>
      <c r="B99" s="4"/>
      <c r="C99" s="4"/>
    </row>
    <row r="100" spans="1:3" x14ac:dyDescent="0.2">
      <c r="A100" s="4"/>
      <c r="B100" s="4"/>
      <c r="C100" s="4"/>
    </row>
    <row r="101" spans="1:3" x14ac:dyDescent="0.2">
      <c r="A101" s="4"/>
      <c r="B101" s="4"/>
      <c r="C101" s="4"/>
    </row>
    <row r="102" spans="1:3" x14ac:dyDescent="0.2">
      <c r="A102" s="4"/>
      <c r="B102" s="4"/>
      <c r="C102" s="4"/>
    </row>
    <row r="103" spans="1:3" x14ac:dyDescent="0.2">
      <c r="A103" s="4"/>
      <c r="B103" s="4"/>
      <c r="C103" s="4"/>
    </row>
    <row r="104" spans="1:3" x14ac:dyDescent="0.2">
      <c r="A104" s="4"/>
      <c r="B104" s="68"/>
      <c r="C104" s="68"/>
    </row>
    <row r="105" spans="1:3" x14ac:dyDescent="0.2">
      <c r="A105" s="4"/>
      <c r="B105" s="67"/>
      <c r="C105" s="67"/>
    </row>
    <row r="106" spans="1:3" x14ac:dyDescent="0.2">
      <c r="A106" s="4"/>
      <c r="B106" s="4"/>
      <c r="C106" s="4"/>
    </row>
    <row r="107" spans="1:3" x14ac:dyDescent="0.2">
      <c r="A107" s="4"/>
      <c r="B107" s="4"/>
      <c r="C107" s="4"/>
    </row>
    <row r="108" spans="1:3" x14ac:dyDescent="0.2">
      <c r="A108" s="64"/>
      <c r="B108" s="4"/>
      <c r="C108" s="4"/>
    </row>
    <row r="109" spans="1:3" x14ac:dyDescent="0.2">
      <c r="A109" s="4"/>
      <c r="B109" s="4"/>
      <c r="C109" s="4"/>
    </row>
    <row r="110" spans="1:3" x14ac:dyDescent="0.2">
      <c r="A110" s="4"/>
      <c r="B110" s="68"/>
      <c r="C110" s="68"/>
    </row>
    <row r="111" spans="1:3" x14ac:dyDescent="0.2">
      <c r="A111" s="4"/>
      <c r="B111" s="67"/>
      <c r="C111" s="67"/>
    </row>
    <row r="112" spans="1:3" x14ac:dyDescent="0.2">
      <c r="A112" s="4"/>
      <c r="B112" s="4"/>
      <c r="C112" s="4"/>
    </row>
    <row r="113" spans="1:3" x14ac:dyDescent="0.2">
      <c r="A113" s="4"/>
      <c r="B113" s="4"/>
      <c r="C113" s="4"/>
    </row>
    <row r="114" spans="1:3" x14ac:dyDescent="0.2">
      <c r="A114" s="64"/>
      <c r="B114" s="4"/>
      <c r="C114" s="4"/>
    </row>
    <row r="115" spans="1:3" x14ac:dyDescent="0.2">
      <c r="A115" s="4"/>
      <c r="B115" s="4"/>
      <c r="C115" s="4"/>
    </row>
    <row r="116" spans="1:3" x14ac:dyDescent="0.2">
      <c r="A116" s="4"/>
      <c r="B116" s="68"/>
      <c r="C116" s="68"/>
    </row>
    <row r="117" spans="1:3" x14ac:dyDescent="0.2">
      <c r="A117" s="4"/>
      <c r="B117" s="67"/>
      <c r="C117" s="67"/>
    </row>
    <row r="118" spans="1:3" x14ac:dyDescent="0.2">
      <c r="A118" s="4"/>
      <c r="B118" s="4"/>
      <c r="C118" s="4"/>
    </row>
    <row r="119" spans="1:3" x14ac:dyDescent="0.2">
      <c r="A119" s="4"/>
      <c r="B119" s="4"/>
      <c r="C119" s="4"/>
    </row>
    <row r="120" spans="1:3" x14ac:dyDescent="0.2">
      <c r="A120" s="64"/>
      <c r="B120" s="4"/>
      <c r="C120" s="4"/>
    </row>
    <row r="121" spans="1:3" x14ac:dyDescent="0.2">
      <c r="A121" s="4"/>
      <c r="B121" s="4"/>
      <c r="C121" s="4"/>
    </row>
    <row r="122" spans="1:3" x14ac:dyDescent="0.2">
      <c r="A122" s="65"/>
      <c r="B122" s="66"/>
      <c r="C122" s="65"/>
    </row>
    <row r="123" spans="1:3" x14ac:dyDescent="0.2">
      <c r="A123" s="65"/>
      <c r="B123" s="66"/>
      <c r="C123" s="65"/>
    </row>
    <row r="124" spans="1:3" x14ac:dyDescent="0.2">
      <c r="A124" s="65"/>
      <c r="B124" s="65"/>
      <c r="C124" s="65"/>
    </row>
    <row r="125" spans="1:3" x14ac:dyDescent="0.2">
      <c r="A125" s="4"/>
      <c r="B125" s="4"/>
      <c r="C125" s="4"/>
    </row>
    <row r="126" spans="1:3" x14ac:dyDescent="0.2">
      <c r="A126" s="4"/>
      <c r="B126" s="4"/>
      <c r="C126" s="4"/>
    </row>
    <row r="127" spans="1:3" x14ac:dyDescent="0.2">
      <c r="A127" s="70"/>
      <c r="B127" s="71"/>
      <c r="C127" s="4"/>
    </row>
  </sheetData>
  <mergeCells count="10">
    <mergeCell ref="I41:K41"/>
    <mergeCell ref="A50:C50"/>
    <mergeCell ref="D50:H50"/>
    <mergeCell ref="I59:K59"/>
    <mergeCell ref="I5:K5"/>
    <mergeCell ref="I7:K7"/>
    <mergeCell ref="I8:K8"/>
    <mergeCell ref="I14:K14"/>
    <mergeCell ref="I23:K23"/>
    <mergeCell ref="I32:K32"/>
  </mergeCells>
  <printOptions horizontalCentered="1" gridLinesSet="0"/>
  <pageMargins left="0.78740157480314965" right="0.59055118110236227" top="0.78740157480314965" bottom="0.78740157480314965" header="0.51181102362204722" footer="0.51181102362204722"/>
  <pageSetup paperSize="9" scale="71" orientation="portrait" horizontalDpi="3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12</vt:i4>
      </vt:variant>
      <vt:variant>
        <vt:lpstr>Benannte Bereiche</vt:lpstr>
      </vt:variant>
      <vt:variant>
        <vt:i4>10</vt:i4>
      </vt:variant>
    </vt:vector>
  </HeadingPairs>
  <TitlesOfParts>
    <vt:vector size="22" baseType="lpstr">
      <vt:lpstr>Kennzahlendarstellung</vt:lpstr>
      <vt:lpstr>Finanzbericht 2011</vt:lpstr>
      <vt:lpstr>Finanzbericht 2010</vt:lpstr>
      <vt:lpstr>Finanzbericht 2009</vt:lpstr>
      <vt:lpstr>Finanzbericht 2008</vt:lpstr>
      <vt:lpstr>Finanzbericht 2007</vt:lpstr>
      <vt:lpstr>Finanzbericht 2006</vt:lpstr>
      <vt:lpstr>Finanzbericht 2005</vt:lpstr>
      <vt:lpstr>Finanzbericht 2004</vt:lpstr>
      <vt:lpstr>Finanzbericht 2003</vt:lpstr>
      <vt:lpstr>Finanzbericht 2002</vt:lpstr>
      <vt:lpstr>Tabelle1</vt:lpstr>
      <vt:lpstr>'Finanzbericht 2002'!Druckbereich</vt:lpstr>
      <vt:lpstr>'Finanzbericht 2003'!Druckbereich</vt:lpstr>
      <vt:lpstr>'Finanzbericht 2004'!Druckbereich</vt:lpstr>
      <vt:lpstr>'Finanzbericht 2005'!Druckbereich</vt:lpstr>
      <vt:lpstr>'Finanzbericht 2006'!Druckbereich</vt:lpstr>
      <vt:lpstr>'Finanzbericht 2007'!Druckbereich</vt:lpstr>
      <vt:lpstr>'Finanzbericht 2008'!Druckbereich</vt:lpstr>
      <vt:lpstr>'Finanzbericht 2009'!Druckbereich</vt:lpstr>
      <vt:lpstr>'Finanzbericht 2010'!Druckbereich</vt:lpstr>
      <vt:lpstr>'Finanzbericht 2011'!Druckbereich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Klaus Eiselmayer</dc:creator>
  <cp:lastModifiedBy>Iciar Caso</cp:lastModifiedBy>
  <cp:lastPrinted>2012-08-10T14:37:01Z</cp:lastPrinted>
  <dcterms:created xsi:type="dcterms:W3CDTF">2002-03-19T16:01:00Z</dcterms:created>
  <dcterms:modified xsi:type="dcterms:W3CDTF">2020-04-03T14:08:32Z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-1803277617</vt:i4>
  </property>
  <property fmtid="{D5CDD505-2E9C-101B-9397-08002B2CF9AE}" pid="3" name="_EmailSubject">
    <vt:lpwstr>Finanzbericht und Termine 2006</vt:lpwstr>
  </property>
  <property fmtid="{D5CDD505-2E9C-101B-9397-08002B2CF9AE}" pid="4" name="_AuthorEmail">
    <vt:lpwstr>m.kottbauer@controllerakademie.de</vt:lpwstr>
  </property>
  <property fmtid="{D5CDD505-2E9C-101B-9397-08002B2CF9AE}" pid="5" name="_AuthorEmailDisplayName">
    <vt:lpwstr>Markus Kottbauer</vt:lpwstr>
  </property>
  <property fmtid="{D5CDD505-2E9C-101B-9397-08002B2CF9AE}" pid="6" name="_PreviousAdHocReviewCycleID">
    <vt:i4>-1150461200</vt:i4>
  </property>
  <property fmtid="{D5CDD505-2E9C-101B-9397-08002B2CF9AE}" pid="7" name="_ReviewingToolsShownOnce">
    <vt:lpwstr/>
  </property>
</Properties>
</file>