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3.xml" ContentType="application/vnd.openxmlformats-officedocument.drawing+xml"/>
  <Override PartName="/xl/charts/chart3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codeName="DieseArbeitsmappe" autoCompressPictures="0"/>
  <bookViews>
    <workbookView xWindow="240" yWindow="20" windowWidth="11580" windowHeight="10300"/>
  </bookViews>
  <sheets>
    <sheet name="Copyright" sheetId="12" r:id="rId1"/>
    <sheet name="Analysis" sheetId="5" r:id="rId2"/>
    <sheet name="Report" sheetId="6" r:id="rId3"/>
    <sheet name="CB-Structure" sheetId="8" r:id="rId4"/>
    <sheet name="2+12" sheetId="9" r:id="rId5"/>
    <sheet name="Logic" sheetId="10" r:id="rId6"/>
    <sheet name="Charts" sheetId="11" r:id="rId7"/>
  </sheets>
  <definedNames>
    <definedName name="_abw1">'2+12'!#REF!</definedName>
    <definedName name="_abw2">'2+12'!#REF!</definedName>
    <definedName name="_abw3">'2+12'!#REF!</definedName>
    <definedName name="_abw4">'2+12'!#REF!</definedName>
    <definedName name="_abw5">'2+12'!#REF!</definedName>
    <definedName name="abwp1">'2+12'!#REF!</definedName>
    <definedName name="abwp2">'2+12'!#REF!</definedName>
    <definedName name="abwp3">'2+12'!#REF!</definedName>
    <definedName name="abwp4">'2+12'!#REF!</definedName>
    <definedName name="abwp5">'2+12'!#REF!</definedName>
    <definedName name="ACTBUD">#REF!</definedName>
    <definedName name="_xlnm.Print_Area" localSheetId="1">Analysis!$A$1:$N$60</definedName>
    <definedName name="_xlnm.Print_Area" localSheetId="2">Report!$B$1:$O$88</definedName>
    <definedName name="Schriftgroesse">'2+12'!$G$8</definedName>
    <definedName name="Spalten">'2+12'!$K$8</definedName>
    <definedName name="XAchseDicke">'2+12'!$P$8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10" l="1"/>
  <c r="E37" i="10"/>
  <c r="F37" i="10"/>
  <c r="G37" i="10"/>
  <c r="H37" i="10"/>
  <c r="I37" i="10"/>
  <c r="J37" i="10"/>
  <c r="K37" i="10"/>
  <c r="L37" i="10"/>
  <c r="M37" i="10"/>
  <c r="N37" i="10"/>
  <c r="O37" i="10"/>
  <c r="D37" i="10"/>
  <c r="B22" i="10"/>
  <c r="C7" i="10"/>
  <c r="D7" i="10"/>
  <c r="E7" i="10"/>
  <c r="F7" i="10"/>
  <c r="G7" i="10"/>
  <c r="H7" i="10"/>
  <c r="I7" i="10"/>
  <c r="J7" i="10"/>
  <c r="K7" i="10"/>
  <c r="L7" i="10"/>
  <c r="M7" i="10"/>
  <c r="N7" i="10"/>
  <c r="N8" i="10"/>
  <c r="P6" i="9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C8" i="10"/>
  <c r="D8" i="10"/>
  <c r="E8" i="10"/>
  <c r="F8" i="10"/>
  <c r="G8" i="10"/>
  <c r="H8" i="10"/>
  <c r="I8" i="10"/>
  <c r="J8" i="10"/>
  <c r="K8" i="10"/>
  <c r="L8" i="10"/>
  <c r="M8" i="10"/>
  <c r="C9" i="10"/>
  <c r="D9" i="10"/>
  <c r="E9" i="10"/>
  <c r="F9" i="10"/>
  <c r="G9" i="10"/>
  <c r="H9" i="10"/>
  <c r="I9" i="10"/>
  <c r="J9" i="10"/>
  <c r="K9" i="10"/>
  <c r="L9" i="10"/>
  <c r="M9" i="10"/>
  <c r="N9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A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A24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A26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A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M22" i="5"/>
  <c r="M21" i="5"/>
  <c r="M20" i="5"/>
  <c r="M19" i="5"/>
  <c r="F21" i="5"/>
  <c r="F22" i="5"/>
  <c r="F23" i="5"/>
  <c r="F24" i="5"/>
  <c r="F25" i="5"/>
  <c r="N22" i="5"/>
  <c r="N21" i="5"/>
  <c r="N20" i="5"/>
  <c r="N19" i="5"/>
  <c r="N18" i="5"/>
  <c r="H27" i="5"/>
  <c r="H21" i="5"/>
  <c r="H22" i="5"/>
  <c r="H23" i="5"/>
  <c r="H24" i="5"/>
  <c r="H25" i="5"/>
  <c r="H26" i="5"/>
  <c r="K22" i="5"/>
  <c r="K23" i="5"/>
  <c r="K24" i="5"/>
  <c r="K25" i="5"/>
  <c r="F26" i="5"/>
  <c r="K26" i="5"/>
  <c r="K21" i="5"/>
  <c r="B63" i="6"/>
  <c r="B62" i="6"/>
  <c r="B61" i="6"/>
  <c r="B20" i="5"/>
  <c r="B21" i="5"/>
  <c r="B22" i="5"/>
  <c r="B23" i="5"/>
  <c r="A20" i="5"/>
  <c r="A21" i="5"/>
  <c r="A22" i="5"/>
  <c r="A23" i="5"/>
  <c r="B19" i="5"/>
  <c r="A19" i="5"/>
  <c r="I8" i="5"/>
  <c r="I9" i="5"/>
  <c r="I10" i="5"/>
  <c r="I11" i="5"/>
  <c r="I7" i="5"/>
  <c r="B51" i="6"/>
  <c r="B50" i="6"/>
  <c r="N46" i="6"/>
  <c r="K46" i="6"/>
  <c r="H46" i="6"/>
  <c r="E46" i="6"/>
  <c r="B46" i="6"/>
  <c r="B73" i="6"/>
  <c r="B72" i="6"/>
  <c r="L12" i="5"/>
  <c r="K12" i="5"/>
  <c r="B12" i="5"/>
  <c r="C12" i="5"/>
</calcChain>
</file>

<file path=xl/sharedStrings.xml><?xml version="1.0" encoding="utf-8"?>
<sst xmlns="http://schemas.openxmlformats.org/spreadsheetml/2006/main" count="111" uniqueCount="87">
  <si>
    <t>CB I</t>
  </si>
  <si>
    <t>Bars, solid</t>
  </si>
  <si>
    <t>Bars, filled</t>
  </si>
  <si>
    <t>Small bars</t>
  </si>
  <si>
    <r>
      <t>Pralin</t>
    </r>
    <r>
      <rPr>
        <sz val="10"/>
        <rFont val="Arial"/>
        <family val="2"/>
      </rPr>
      <t>é</t>
    </r>
    <r>
      <rPr>
        <sz val="10"/>
        <rFont val="Arial"/>
      </rPr>
      <t>s</t>
    </r>
  </si>
  <si>
    <t>Cacao drinks</t>
  </si>
  <si>
    <r>
      <t>Analysis of sales variances in the BU chocolate 1</t>
    </r>
    <r>
      <rPr>
        <vertAlign val="superscript"/>
        <sz val="18"/>
        <rFont val="Arial"/>
        <family val="2"/>
      </rPr>
      <t>st</t>
    </r>
    <r>
      <rPr>
        <sz val="18"/>
        <rFont val="Arial"/>
        <family val="2"/>
      </rPr>
      <t xml:space="preserve"> half year</t>
    </r>
  </si>
  <si>
    <t>Volume</t>
  </si>
  <si>
    <t>Planned</t>
  </si>
  <si>
    <t>Actual</t>
  </si>
  <si>
    <t>EUR/kg</t>
  </si>
  <si>
    <t>Tsd. tons</t>
  </si>
  <si>
    <t>Tsd. EUR</t>
  </si>
  <si>
    <t>Beschriftung Selling price</t>
  </si>
  <si>
    <t>Plan</t>
  </si>
  <si>
    <t>Act</t>
  </si>
  <si>
    <t>CB I / kg</t>
  </si>
  <si>
    <t>Procos</t>
  </si>
  <si>
    <t>BU Chocolate: Variance Analysis Report 30.06.</t>
  </si>
  <si>
    <t>Selling Price</t>
  </si>
  <si>
    <t>DB-Struktur</t>
  </si>
  <si>
    <t>Var</t>
  </si>
  <si>
    <t>Pralinés</t>
  </si>
  <si>
    <t>Beschriftung</t>
  </si>
  <si>
    <t>Legende</t>
  </si>
  <si>
    <t>X</t>
  </si>
  <si>
    <t>Y</t>
  </si>
  <si>
    <t>Solid Bar</t>
  </si>
  <si>
    <t>Filled Bar</t>
  </si>
  <si>
    <t>Small Bar</t>
  </si>
  <si>
    <t>Cacao Drink</t>
  </si>
  <si>
    <t>PLAN</t>
  </si>
  <si>
    <t>Price</t>
  </si>
  <si>
    <t>Mix</t>
  </si>
  <si>
    <t>Mat.Price</t>
  </si>
  <si>
    <t>Mat.Vol.</t>
  </si>
  <si>
    <t>Others</t>
  </si>
  <si>
    <t>ACT</t>
  </si>
  <si>
    <t>(1-12)</t>
  </si>
  <si>
    <t>Result</t>
  </si>
  <si>
    <t>Mill. EUR</t>
  </si>
  <si>
    <t xml:space="preserve">Liebe Seminarteilnehmer - </t>
  </si>
  <si>
    <t>Hier ist die dahinterstehende Logik für diejenigen abgebildet, die diese Lösung anpassen möchten.</t>
  </si>
  <si>
    <t>Über Erfahrungen und Verbesserungen würden wir uns freuen.</t>
  </si>
  <si>
    <t>Rolf Hichert (mail@hichert.com)</t>
  </si>
  <si>
    <t>Holger Gerths (holger@gerths.de)</t>
  </si>
  <si>
    <t>Beginn</t>
  </si>
  <si>
    <t>Ende</t>
  </si>
  <si>
    <t>Fällt</t>
  </si>
  <si>
    <t>Säule ist oberhalb Nulllinie</t>
  </si>
  <si>
    <t>Säule ist unterhalb Nulllinie</t>
  </si>
  <si>
    <t>Säule geht durch Nulllinie</t>
  </si>
  <si>
    <t>größter Abstand von Null</t>
  </si>
  <si>
    <t>kleinster Abstand von Null</t>
  </si>
  <si>
    <t>steigt, &gt; 0</t>
  </si>
  <si>
    <t>fällt, &gt; 0</t>
  </si>
  <si>
    <t>steigt, &lt; 0</t>
  </si>
  <si>
    <t>fällt, &lt; 0</t>
  </si>
  <si>
    <t>Anf. u. Ende</t>
  </si>
  <si>
    <t>weiss</t>
  </si>
  <si>
    <t>Bez., steigt, &gt; 0</t>
  </si>
  <si>
    <t>Bez., fällt, &gt; 0 (and. Vorzeichen)</t>
  </si>
  <si>
    <t>Bez., steigt, durch 0</t>
  </si>
  <si>
    <t>Bez., fällt, durch 0</t>
  </si>
  <si>
    <t>Bez., steigt, &lt; 0 (anderes Vorzeichen)</t>
  </si>
  <si>
    <t>Bez., fällt, &lt; 0</t>
  </si>
  <si>
    <t>X-Achse</t>
  </si>
  <si>
    <t>X-Achse Beschriftung</t>
  </si>
  <si>
    <t>PAPERS OF CA CONTROLLER AKADEMIE AG</t>
  </si>
  <si>
    <t xml:space="preserve">and could not be compensated by the additional </t>
  </si>
  <si>
    <t>By passing on the lower raw material prices to our customers, we</t>
  </si>
  <si>
    <t>benefit from volume increases. Because of lower sales of Pralinés</t>
  </si>
  <si>
    <r>
      <t xml:space="preserve">The actual result is </t>
    </r>
    <r>
      <rPr>
        <b/>
        <sz val="12"/>
        <rFont val="Arial"/>
      </rPr>
      <t>97 T€ better than planned</t>
    </r>
    <r>
      <rPr>
        <sz val="12"/>
        <rFont val="Arial"/>
      </rPr>
      <t>.</t>
    </r>
  </si>
  <si>
    <t>heavy decrease of Pralinés (-1,7) and Small Bars (-2,3)</t>
  </si>
  <si>
    <t>contribution of Filled (+0,8) and Solid Bars (+1,6).</t>
  </si>
  <si>
    <r>
      <t xml:space="preserve">The </t>
    </r>
    <r>
      <rPr>
        <b/>
        <sz val="12"/>
        <rFont val="Arial"/>
      </rPr>
      <t>decrease in Contribution I of -1,56 m€</t>
    </r>
    <r>
      <rPr>
        <sz val="12"/>
        <rFont val="Arial"/>
      </rPr>
      <t xml:space="preserve"> is caused by</t>
    </r>
  </si>
  <si>
    <t>and Small Bars we face a negative product mix of -1.314 T€.</t>
  </si>
  <si>
    <r>
      <t xml:space="preserve">For the first time </t>
    </r>
    <r>
      <rPr>
        <b/>
        <sz val="12"/>
        <rFont val="Arial"/>
      </rPr>
      <t>CB I of Solid Bars (9,7 m€)</t>
    </r>
    <r>
      <rPr>
        <sz val="12"/>
        <rFont val="Arial"/>
      </rPr>
      <t xml:space="preserve"> is higer than the Contribution of all the other product groups.</t>
    </r>
  </si>
  <si>
    <t>Stage IV Case Study</t>
  </si>
  <si>
    <t>BU Reporting Chocolate</t>
  </si>
  <si>
    <t>Dietmar Pascher</t>
  </si>
  <si>
    <t>Controller Akademie AG</t>
  </si>
  <si>
    <t>Example</t>
  </si>
  <si>
    <t>Waterfallchart with 2+12 values</t>
  </si>
  <si>
    <t>Fond size</t>
  </si>
  <si>
    <t>Column</t>
  </si>
  <si>
    <t>X-axis width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</si>
</sst>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"/>
    <numFmt numFmtId="177" formatCode="#,##0.000"/>
    <numFmt numFmtId="179" formatCode="0.0"/>
    <numFmt numFmtId="180" formatCode="_ * #,##0.0_ ;_ * \-#,##0.0_ ;_ * &quot;-&quot;??_ ;_ @_ "/>
    <numFmt numFmtId="182" formatCode="_ * #,##0.00_ ;_ * \-#,##0.00_ ;_ * &quot;-&quot;??_ ;_ @_ "/>
    <numFmt numFmtId="183" formatCode="0.0;0.0;#"/>
    <numFmt numFmtId="184" formatCode="0;0;#"/>
    <numFmt numFmtId="185" formatCode="0;\-0;#"/>
    <numFmt numFmtId="187" formatCode="\+#,##0;\-#,##0;#"/>
    <numFmt numFmtId="188" formatCode="\+#,##0;\-#,##0;0"/>
    <numFmt numFmtId="189" formatCode="#,##0;\-#,##0;0"/>
  </numFmts>
  <fonts count="2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vertAlign val="superscript"/>
      <sz val="18"/>
      <name val="Arial"/>
      <family val="2"/>
    </font>
    <font>
      <sz val="8"/>
      <name val="Arial"/>
    </font>
    <font>
      <sz val="14"/>
      <name val="Arial"/>
    </font>
    <font>
      <b/>
      <sz val="12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</font>
    <font>
      <sz val="11"/>
      <name val="Arial"/>
    </font>
    <font>
      <b/>
      <sz val="11"/>
      <name val="Arial"/>
      <family val="2"/>
    </font>
    <font>
      <sz val="11"/>
      <color indexed="9"/>
      <name val="Arial"/>
    </font>
    <font>
      <sz val="12"/>
      <name val="Arial"/>
    </font>
    <font>
      <b/>
      <sz val="12"/>
      <name val="Arial"/>
    </font>
    <font>
      <b/>
      <sz val="14"/>
      <name val="Arial"/>
      <family val="2"/>
    </font>
    <font>
      <sz val="20"/>
      <name val="Arial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lightVertical"/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gray0625">
        <bgColor indexed="22"/>
      </patternFill>
    </fill>
    <fill>
      <patternFill patternType="lightUp">
        <bgColor indexed="9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82" fontId="1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0" fillId="0" borderId="3" xfId="0" applyBorder="1"/>
    <xf numFmtId="0" fontId="0" fillId="0" borderId="0" xfId="0" applyBorder="1"/>
    <xf numFmtId="0" fontId="0" fillId="0" borderId="4" xfId="0" applyBorder="1"/>
    <xf numFmtId="4" fontId="0" fillId="0" borderId="0" xfId="0" applyNumberFormat="1" applyBorder="1"/>
    <xf numFmtId="0" fontId="5" fillId="0" borderId="0" xfId="0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5" xfId="0" applyFill="1" applyBorder="1"/>
    <xf numFmtId="0" fontId="0" fillId="4" borderId="6" xfId="0" applyFill="1" applyBorder="1"/>
    <xf numFmtId="0" fontId="8" fillId="0" borderId="0" xfId="0" applyFont="1"/>
    <xf numFmtId="0" fontId="8" fillId="5" borderId="0" xfId="0" applyFont="1" applyFill="1"/>
    <xf numFmtId="2" fontId="0" fillId="0" borderId="0" xfId="0" applyNumberFormat="1" applyBorder="1"/>
    <xf numFmtId="2" fontId="0" fillId="0" borderId="3" xfId="0" applyNumberFormat="1" applyBorder="1"/>
    <xf numFmtId="0" fontId="7" fillId="0" borderId="0" xfId="0" applyFont="1"/>
    <xf numFmtId="0" fontId="9" fillId="0" borderId="0" xfId="0" applyFont="1"/>
    <xf numFmtId="4" fontId="0" fillId="0" borderId="0" xfId="0" applyNumberFormat="1"/>
    <xf numFmtId="0" fontId="0" fillId="0" borderId="0" xfId="0" applyAlignment="1">
      <alignment horizontal="right"/>
    </xf>
    <xf numFmtId="0" fontId="10" fillId="0" borderId="0" xfId="0" applyFont="1"/>
    <xf numFmtId="0" fontId="0" fillId="0" borderId="0" xfId="0" applyAlignment="1">
      <alignment horizontal="left"/>
    </xf>
    <xf numFmtId="0" fontId="0" fillId="6" borderId="0" xfId="0" applyFill="1" applyAlignment="1">
      <alignment horizontal="left"/>
    </xf>
    <xf numFmtId="0" fontId="0" fillId="0" borderId="4" xfId="0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4" xfId="0" applyFill="1" applyBorder="1" applyAlignment="1">
      <alignment horizontal="right"/>
    </xf>
    <xf numFmtId="4" fontId="0" fillId="6" borderId="0" xfId="0" applyNumberFormat="1" applyFill="1" applyBorder="1"/>
    <xf numFmtId="176" fontId="0" fillId="6" borderId="0" xfId="0" applyNumberFormat="1" applyFill="1" applyBorder="1"/>
    <xf numFmtId="4" fontId="0" fillId="6" borderId="3" xfId="0" applyNumberFormat="1" applyFill="1" applyBorder="1"/>
    <xf numFmtId="4" fontId="0" fillId="6" borderId="4" xfId="0" applyNumberFormat="1" applyFill="1" applyBorder="1"/>
    <xf numFmtId="176" fontId="0" fillId="6" borderId="4" xfId="0" applyNumberFormat="1" applyFill="1" applyBorder="1"/>
    <xf numFmtId="2" fontId="0" fillId="0" borderId="4" xfId="0" applyNumberFormat="1" applyBorder="1"/>
    <xf numFmtId="177" fontId="0" fillId="0" borderId="3" xfId="0" applyNumberFormat="1" applyBorder="1"/>
    <xf numFmtId="4" fontId="0" fillId="0" borderId="7" xfId="0" applyNumberFormat="1" applyBorder="1"/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left"/>
    </xf>
    <xf numFmtId="4" fontId="0" fillId="0" borderId="0" xfId="0" applyNumberFormat="1" applyFill="1" applyBorder="1"/>
    <xf numFmtId="0" fontId="0" fillId="0" borderId="0" xfId="0" applyFill="1" applyAlignment="1">
      <alignment horizontal="left"/>
    </xf>
    <xf numFmtId="176" fontId="0" fillId="0" borderId="0" xfId="0" applyNumberFormat="1" applyFill="1" applyBorder="1"/>
    <xf numFmtId="176" fontId="0" fillId="0" borderId="4" xfId="0" applyNumberFormat="1" applyFill="1" applyBorder="1"/>
    <xf numFmtId="4" fontId="0" fillId="0" borderId="7" xfId="0" applyNumberFormat="1" applyBorder="1" applyAlignment="1">
      <alignment horizontal="right"/>
    </xf>
    <xf numFmtId="4" fontId="0" fillId="6" borderId="0" xfId="0" applyNumberFormat="1" applyFill="1"/>
    <xf numFmtId="179" fontId="0" fillId="0" borderId="7" xfId="0" applyNumberFormat="1" applyBorder="1"/>
    <xf numFmtId="0" fontId="0" fillId="6" borderId="0" xfId="0" applyFill="1"/>
    <xf numFmtId="180" fontId="11" fillId="0" borderId="0" xfId="1" applyNumberFormat="1" applyFont="1" applyFill="1" applyBorder="1"/>
    <xf numFmtId="180" fontId="11" fillId="7" borderId="0" xfId="1" applyNumberFormat="1" applyFont="1" applyFill="1" applyBorder="1" applyAlignment="1">
      <alignment horizontal="left"/>
    </xf>
    <xf numFmtId="180" fontId="11" fillId="7" borderId="0" xfId="1" applyNumberFormat="1" applyFont="1" applyFill="1" applyBorder="1"/>
    <xf numFmtId="180" fontId="11" fillId="7" borderId="0" xfId="1" applyNumberFormat="1" applyFont="1" applyFill="1" applyBorder="1" applyAlignment="1">
      <alignment horizontal="center"/>
    </xf>
    <xf numFmtId="180" fontId="12" fillId="0" borderId="0" xfId="1" applyNumberFormat="1" applyFont="1" applyFill="1" applyBorder="1"/>
    <xf numFmtId="180" fontId="12" fillId="7" borderId="0" xfId="1" applyNumberFormat="1" applyFont="1" applyFill="1" applyBorder="1" applyAlignment="1">
      <alignment horizontal="left"/>
    </xf>
    <xf numFmtId="180" fontId="12" fillId="7" borderId="0" xfId="1" applyNumberFormat="1" applyFont="1" applyFill="1" applyBorder="1"/>
    <xf numFmtId="180" fontId="11" fillId="7" borderId="0" xfId="1" applyNumberFormat="1" applyFont="1" applyFill="1" applyBorder="1" applyAlignment="1">
      <alignment horizontal="right"/>
    </xf>
    <xf numFmtId="180" fontId="12" fillId="0" borderId="0" xfId="1" applyNumberFormat="1" applyFont="1" applyFill="1" applyBorder="1" applyAlignment="1">
      <alignment horizontal="right"/>
    </xf>
    <xf numFmtId="180" fontId="12" fillId="7" borderId="0" xfId="1" applyNumberFormat="1" applyFont="1" applyFill="1" applyBorder="1" applyAlignment="1">
      <alignment horizontal="right"/>
    </xf>
    <xf numFmtId="187" fontId="12" fillId="7" borderId="0" xfId="1" applyNumberFormat="1" applyFont="1" applyFill="1" applyBorder="1" applyAlignment="1">
      <alignment horizontal="left"/>
    </xf>
    <xf numFmtId="188" fontId="12" fillId="6" borderId="0" xfId="1" applyNumberFormat="1" applyFont="1" applyFill="1" applyBorder="1" applyAlignment="1">
      <alignment horizontal="center"/>
    </xf>
    <xf numFmtId="188" fontId="12" fillId="7" borderId="0" xfId="1" applyNumberFormat="1" applyFont="1" applyFill="1" applyBorder="1" applyAlignment="1">
      <alignment horizontal="center"/>
    </xf>
    <xf numFmtId="187" fontId="12" fillId="7" borderId="0" xfId="1" applyNumberFormat="1" applyFont="1" applyFill="1" applyBorder="1" applyAlignment="1">
      <alignment horizontal="right"/>
    </xf>
    <xf numFmtId="180" fontId="11" fillId="0" borderId="0" xfId="1" applyNumberFormat="1" applyFont="1" applyFill="1" applyBorder="1" applyAlignment="1">
      <alignment horizontal="right"/>
    </xf>
    <xf numFmtId="187" fontId="11" fillId="7" borderId="0" xfId="1" applyNumberFormat="1" applyFont="1" applyFill="1" applyBorder="1" applyAlignment="1">
      <alignment horizontal="left"/>
    </xf>
    <xf numFmtId="188" fontId="11" fillId="7" borderId="0" xfId="1" applyNumberFormat="1" applyFont="1" applyFill="1" applyBorder="1" applyAlignment="1">
      <alignment horizontal="center"/>
    </xf>
    <xf numFmtId="188" fontId="11" fillId="7" borderId="0" xfId="1" applyNumberFormat="1" applyFont="1" applyFill="1" applyBorder="1" applyAlignment="1">
      <alignment horizontal="right"/>
    </xf>
    <xf numFmtId="189" fontId="12" fillId="6" borderId="0" xfId="1" applyNumberFormat="1" applyFont="1" applyFill="1" applyBorder="1" applyAlignment="1">
      <alignment horizontal="center"/>
    </xf>
    <xf numFmtId="185" fontId="11" fillId="7" borderId="0" xfId="1" applyNumberFormat="1" applyFont="1" applyFill="1" applyBorder="1" applyAlignment="1">
      <alignment horizontal="center"/>
    </xf>
    <xf numFmtId="187" fontId="11" fillId="7" borderId="0" xfId="1" applyNumberFormat="1" applyFont="1" applyFill="1" applyBorder="1" applyAlignment="1">
      <alignment horizontal="right"/>
    </xf>
    <xf numFmtId="180" fontId="11" fillId="8" borderId="0" xfId="1" applyNumberFormat="1" applyFont="1" applyFill="1" applyBorder="1" applyAlignment="1">
      <alignment horizontal="left"/>
    </xf>
    <xf numFmtId="180" fontId="12" fillId="7" borderId="0" xfId="1" applyNumberFormat="1" applyFont="1" applyFill="1" applyBorder="1" applyAlignment="1">
      <alignment wrapText="1"/>
    </xf>
    <xf numFmtId="0" fontId="2" fillId="7" borderId="0" xfId="0" applyFont="1" applyFill="1" applyAlignment="1">
      <alignment wrapText="1"/>
    </xf>
    <xf numFmtId="0" fontId="1" fillId="8" borderId="0" xfId="0" applyFont="1" applyFill="1" applyAlignment="1">
      <alignment wrapText="1"/>
    </xf>
    <xf numFmtId="180" fontId="13" fillId="9" borderId="0" xfId="1" applyNumberFormat="1" applyFont="1" applyFill="1" applyBorder="1"/>
    <xf numFmtId="180" fontId="11" fillId="9" borderId="0" xfId="1" applyNumberFormat="1" applyFont="1" applyFill="1" applyBorder="1"/>
    <xf numFmtId="180" fontId="11" fillId="9" borderId="0" xfId="1" applyNumberFormat="1" applyFont="1" applyFill="1" applyBorder="1" applyAlignment="1">
      <alignment horizontal="center"/>
    </xf>
    <xf numFmtId="180" fontId="11" fillId="8" borderId="0" xfId="1" applyNumberFormat="1" applyFont="1" applyFill="1" applyBorder="1"/>
    <xf numFmtId="180" fontId="11" fillId="7" borderId="0" xfId="1" quotePrefix="1" applyNumberFormat="1" applyFont="1" applyFill="1" applyBorder="1"/>
    <xf numFmtId="180" fontId="11" fillId="0" borderId="0" xfId="1" applyNumberFormat="1" applyFont="1" applyFill="1" applyBorder="1" applyAlignment="1">
      <alignment horizontal="left" wrapText="1"/>
    </xf>
    <xf numFmtId="180" fontId="11" fillId="0" borderId="0" xfId="1" applyNumberFormat="1" applyFont="1" applyFill="1" applyBorder="1" applyAlignment="1">
      <alignment wrapText="1"/>
    </xf>
    <xf numFmtId="180" fontId="11" fillId="0" borderId="0" xfId="1" applyNumberFormat="1" applyFont="1" applyFill="1" applyBorder="1" applyAlignment="1">
      <alignment horizontal="left"/>
    </xf>
    <xf numFmtId="180" fontId="11" fillId="0" borderId="0" xfId="1" applyNumberFormat="1" applyFont="1" applyFill="1" applyBorder="1" applyAlignment="1">
      <alignment horizontal="center"/>
    </xf>
    <xf numFmtId="0" fontId="11" fillId="10" borderId="0" xfId="0" applyFont="1" applyFill="1"/>
    <xf numFmtId="0" fontId="15" fillId="0" borderId="0" xfId="0" applyFont="1" applyBorder="1" applyAlignment="1">
      <alignment horizontal="left"/>
    </xf>
    <xf numFmtId="185" fontId="11" fillId="0" borderId="0" xfId="0" applyNumberFormat="1" applyFont="1" applyFill="1" applyBorder="1" applyAlignment="1">
      <alignment wrapText="1"/>
    </xf>
    <xf numFmtId="185" fontId="11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/>
    </xf>
    <xf numFmtId="185" fontId="11" fillId="0" borderId="0" xfId="0" applyNumberFormat="1" applyFont="1" applyFill="1" applyBorder="1"/>
    <xf numFmtId="185" fontId="11" fillId="0" borderId="0" xfId="0" applyNumberFormat="1" applyFont="1" applyFill="1" applyBorder="1" applyAlignment="1">
      <alignment horizontal="center"/>
    </xf>
    <xf numFmtId="183" fontId="16" fillId="2" borderId="0" xfId="0" applyNumberFormat="1" applyFont="1" applyFill="1" applyBorder="1" applyAlignment="1">
      <alignment horizontal="left"/>
    </xf>
    <xf numFmtId="183" fontId="11" fillId="0" borderId="0" xfId="0" applyNumberFormat="1" applyFont="1" applyFill="1" applyBorder="1" applyAlignment="1">
      <alignment horizontal="center"/>
    </xf>
    <xf numFmtId="183" fontId="15" fillId="0" borderId="0" xfId="0" applyNumberFormat="1" applyFont="1" applyFill="1" applyBorder="1" applyAlignment="1">
      <alignment horizontal="left"/>
    </xf>
    <xf numFmtId="180" fontId="15" fillId="0" borderId="0" xfId="1" applyNumberFormat="1" applyFont="1" applyBorder="1" applyAlignment="1">
      <alignment horizontal="left"/>
    </xf>
    <xf numFmtId="185" fontId="11" fillId="0" borderId="0" xfId="1" applyNumberFormat="1" applyFont="1" applyFill="1" applyBorder="1"/>
    <xf numFmtId="185" fontId="11" fillId="0" borderId="0" xfId="1" applyNumberFormat="1" applyFont="1" applyFill="1" applyBorder="1" applyAlignment="1">
      <alignment horizontal="center"/>
    </xf>
    <xf numFmtId="185" fontId="15" fillId="0" borderId="0" xfId="0" applyNumberFormat="1" applyFont="1" applyFill="1" applyBorder="1" applyAlignment="1">
      <alignment horizontal="left"/>
    </xf>
    <xf numFmtId="184" fontId="17" fillId="11" borderId="0" xfId="0" applyNumberFormat="1" applyFont="1" applyFill="1" applyBorder="1" applyAlignment="1">
      <alignment horizontal="left"/>
    </xf>
    <xf numFmtId="184" fontId="15" fillId="8" borderId="0" xfId="0" applyNumberFormat="1" applyFont="1" applyFill="1" applyBorder="1" applyAlignment="1">
      <alignment horizontal="left"/>
    </xf>
    <xf numFmtId="184" fontId="15" fillId="12" borderId="0" xfId="0" applyNumberFormat="1" applyFont="1" applyFill="1" applyBorder="1" applyAlignment="1">
      <alignment horizontal="left"/>
    </xf>
    <xf numFmtId="184" fontId="15" fillId="13" borderId="0" xfId="0" applyNumberFormat="1" applyFont="1" applyFill="1" applyBorder="1" applyAlignment="1">
      <alignment horizontal="left"/>
    </xf>
    <xf numFmtId="184" fontId="15" fillId="0" borderId="0" xfId="0" applyNumberFormat="1" applyFont="1" applyFill="1" applyBorder="1" applyAlignment="1">
      <alignment horizontal="left"/>
    </xf>
    <xf numFmtId="0" fontId="17" fillId="14" borderId="0" xfId="0" applyFont="1" applyFill="1" applyBorder="1" applyAlignment="1">
      <alignment horizontal="left"/>
    </xf>
    <xf numFmtId="0" fontId="14" fillId="7" borderId="0" xfId="0" applyFont="1" applyFill="1" applyBorder="1" applyAlignment="1">
      <alignment horizontal="left"/>
    </xf>
    <xf numFmtId="180" fontId="15" fillId="15" borderId="0" xfId="1" applyNumberFormat="1" applyFont="1" applyFill="1" applyBorder="1" applyAlignment="1">
      <alignment horizontal="left"/>
    </xf>
    <xf numFmtId="180" fontId="15" fillId="16" borderId="0" xfId="1" applyNumberFormat="1" applyFont="1" applyFill="1" applyBorder="1" applyAlignment="1">
      <alignment horizontal="left"/>
    </xf>
    <xf numFmtId="180" fontId="15" fillId="6" borderId="0" xfId="1" applyNumberFormat="1" applyFont="1" applyFill="1" applyBorder="1" applyAlignment="1">
      <alignment horizontal="left"/>
    </xf>
    <xf numFmtId="180" fontId="15" fillId="10" borderId="0" xfId="1" applyNumberFormat="1" applyFont="1" applyFill="1" applyBorder="1" applyAlignment="1">
      <alignment horizontal="left"/>
    </xf>
    <xf numFmtId="180" fontId="17" fillId="17" borderId="0" xfId="1" applyNumberFormat="1" applyFont="1" applyFill="1" applyBorder="1" applyAlignment="1">
      <alignment horizontal="left"/>
    </xf>
    <xf numFmtId="180" fontId="17" fillId="2" borderId="0" xfId="1" applyNumberFormat="1" applyFont="1" applyFill="1" applyBorder="1" applyAlignment="1">
      <alignment horizontal="left"/>
    </xf>
    <xf numFmtId="180" fontId="12" fillId="9" borderId="0" xfId="1" applyNumberFormat="1" applyFont="1" applyFill="1" applyBorder="1"/>
    <xf numFmtId="0" fontId="0" fillId="14" borderId="0" xfId="0" applyFill="1"/>
    <xf numFmtId="0" fontId="18" fillId="0" borderId="0" xfId="0" applyFont="1"/>
    <xf numFmtId="185" fontId="11" fillId="6" borderId="0" xfId="1" applyNumberFormat="1" applyFont="1" applyFill="1" applyBorder="1" applyAlignment="1">
      <alignment horizontal="center" wrapText="1"/>
    </xf>
    <xf numFmtId="185" fontId="11" fillId="6" borderId="0" xfId="1" applyNumberFormat="1" applyFont="1" applyFill="1" applyBorder="1" applyAlignment="1">
      <alignment horizontal="center"/>
    </xf>
    <xf numFmtId="180" fontId="11" fillId="6" borderId="0" xfId="1" applyNumberFormat="1" applyFont="1" applyFill="1" applyBorder="1" applyAlignment="1">
      <alignment horizontal="center" wrapText="1"/>
    </xf>
    <xf numFmtId="0" fontId="0" fillId="18" borderId="5" xfId="0" applyFill="1" applyBorder="1"/>
    <xf numFmtId="0" fontId="0" fillId="18" borderId="6" xfId="0" applyFill="1" applyBorder="1"/>
    <xf numFmtId="0" fontId="0" fillId="19" borderId="5" xfId="0" applyFill="1" applyBorder="1"/>
    <xf numFmtId="0" fontId="0" fillId="19" borderId="6" xfId="0" applyFill="1" applyBorder="1"/>
    <xf numFmtId="0" fontId="20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80" fontId="14" fillId="0" borderId="0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/>
  </cellXfs>
  <cellStyles count="2">
    <cellStyle name="Dezimal_Ueberleitungsgrafik" xfId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Analysis!$C$4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Analysis!$B$7:$C$7</c:f>
              <c:numCache>
                <c:formatCode>#,##0.00</c:formatCode>
                <c:ptCount val="2"/>
                <c:pt idx="0">
                  <c:v>2.0</c:v>
                </c:pt>
                <c:pt idx="1">
                  <c:v>3.0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0755496"/>
        <c:axId val="450759368"/>
      </c:barChart>
      <c:catAx>
        <c:axId val="45075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759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759368"/>
        <c:scaling>
          <c:orientation val="minMax"/>
          <c:max val="4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450755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Analysis!$L$4</c:f>
              <c:strCache>
                <c:ptCount val="1"/>
                <c:pt idx="0">
                  <c:v>CB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Analysis!$K$10:$L$10</c:f>
              <c:numCache>
                <c:formatCode>#,##0.0</c:formatCode>
                <c:ptCount val="2"/>
                <c:pt idx="0">
                  <c:v>4.08</c:v>
                </c:pt>
                <c:pt idx="1">
                  <c:v>2.449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50138984"/>
        <c:axId val="450124152"/>
      </c:barChart>
      <c:catAx>
        <c:axId val="45013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124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124152"/>
        <c:scaling>
          <c:orientation val="minMax"/>
          <c:max val="12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138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Analysis!$L$4</c:f>
              <c:strCache>
                <c:ptCount val="1"/>
                <c:pt idx="0">
                  <c:v>CB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Analysis!$K$11:$L$11</c:f>
              <c:numCache>
                <c:formatCode>#,##0.0</c:formatCode>
                <c:ptCount val="2"/>
                <c:pt idx="0">
                  <c:v>1.672</c:v>
                </c:pt>
                <c:pt idx="1">
                  <c:v>1.71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50076552"/>
        <c:axId val="450040744"/>
      </c:barChart>
      <c:catAx>
        <c:axId val="45007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040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040744"/>
        <c:scaling>
          <c:orientation val="minMax"/>
          <c:max val="13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076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Analysis!#REF!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Analysis!$H$8:$I$8</c:f>
              <c:numCache>
                <c:formatCode>0.00</c:formatCode>
                <c:ptCount val="2"/>
                <c:pt idx="0" formatCode="#,##0.00">
                  <c:v>4.24</c:v>
                </c:pt>
                <c:pt idx="1">
                  <c:v>3.55</c:v>
                </c:pt>
              </c:numCache>
            </c:numRef>
          </c:val>
        </c:ser>
        <c:ser>
          <c:idx val="0"/>
          <c:order val="1"/>
          <c:tx>
            <c:strRef>
              <c:f>Analysis!$N$5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Analysis!$N$8:$O$8</c:f>
              <c:numCache>
                <c:formatCode>#,##0.00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449938136"/>
        <c:axId val="449934184"/>
      </c:barChart>
      <c:lineChart>
        <c:grouping val="standard"/>
        <c:varyColors val="0"/>
        <c:ser>
          <c:idx val="2"/>
          <c:order val="2"/>
          <c:tx>
            <c:strRef>
              <c:f>Analysis!$A$16</c:f>
              <c:strCache>
                <c:ptCount val="1"/>
                <c:pt idx="0">
                  <c:v>Beschriftung Selling price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Analysis!$E$8</c:f>
                  <c:strCache>
                    <c:ptCount val="1"/>
                    <c:pt idx="0">
                      <c:v>8,0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Analysis!$F$8</c:f>
                  <c:strCache>
                    <c:ptCount val="1"/>
                    <c:pt idx="0">
                      <c:v>7,3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Analysis!$A$20:$B$20</c:f>
              <c:numCache>
                <c:formatCode>#,##0.00</c:formatCode>
                <c:ptCount val="2"/>
                <c:pt idx="0">
                  <c:v>11.0</c:v>
                </c:pt>
                <c:pt idx="1">
                  <c:v>10.3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38136"/>
        <c:axId val="449934184"/>
      </c:lineChart>
      <c:catAx>
        <c:axId val="44993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9934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934184"/>
        <c:scaling>
          <c:orientation val="minMax"/>
          <c:max val="32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449938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Analysis!#REF!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Analysis!$H$9:$I$9</c:f>
              <c:numCache>
                <c:formatCode>0.00</c:formatCode>
                <c:ptCount val="2"/>
                <c:pt idx="0" formatCode="#,##0.00">
                  <c:v>4.93</c:v>
                </c:pt>
                <c:pt idx="1">
                  <c:v>5.129999999999999</c:v>
                </c:pt>
              </c:numCache>
            </c:numRef>
          </c:val>
        </c:ser>
        <c:ser>
          <c:idx val="0"/>
          <c:order val="1"/>
          <c:tx>
            <c:strRef>
              <c:f>Analysis!$N$5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Analysis!$N$9:$O$9</c:f>
              <c:numCache>
                <c:formatCode>#,##0.00</c:formatCode>
                <c:ptCount val="2"/>
                <c:pt idx="0">
                  <c:v>5.07</c:v>
                </c:pt>
                <c:pt idx="1">
                  <c:v>5.07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449862360"/>
        <c:axId val="449866488"/>
      </c:barChart>
      <c:lineChart>
        <c:grouping val="standard"/>
        <c:varyColors val="0"/>
        <c:ser>
          <c:idx val="2"/>
          <c:order val="2"/>
          <c:tx>
            <c:strRef>
              <c:f>Analysis!$A$16</c:f>
              <c:strCache>
                <c:ptCount val="1"/>
                <c:pt idx="0">
                  <c:v>Beschriftung Selling price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Analysis!$E$9</c:f>
                  <c:strCache>
                    <c:ptCount val="1"/>
                    <c:pt idx="0">
                      <c:v>10,0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Analysis!$F$9</c:f>
                  <c:strCache>
                    <c:ptCount val="1"/>
                    <c:pt idx="0">
                      <c:v>10,2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Analysis!$A$21:$B$21</c:f>
              <c:numCache>
                <c:formatCode>#,##0.00</c:formatCode>
                <c:ptCount val="2"/>
                <c:pt idx="0">
                  <c:v>13.0</c:v>
                </c:pt>
                <c:pt idx="1">
                  <c:v>13.2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862360"/>
        <c:axId val="449866488"/>
      </c:lineChart>
      <c:catAx>
        <c:axId val="4498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9866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866488"/>
        <c:scaling>
          <c:orientation val="minMax"/>
          <c:max val="32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449862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Analysis!#REF!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Analysis!$H$10:$I$10</c:f>
              <c:numCache>
                <c:formatCode>0.00</c:formatCode>
                <c:ptCount val="2"/>
                <c:pt idx="0" formatCode="#,##0.00">
                  <c:v>8.16</c:v>
                </c:pt>
                <c:pt idx="1">
                  <c:v>8.16</c:v>
                </c:pt>
              </c:numCache>
            </c:numRef>
          </c:val>
        </c:ser>
        <c:ser>
          <c:idx val="0"/>
          <c:order val="1"/>
          <c:tx>
            <c:strRef>
              <c:f>Analysis!$N$5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Analysis!$N$10:$O$10</c:f>
              <c:numCache>
                <c:formatCode>#,##0.00</c:formatCode>
                <c:ptCount val="2"/>
                <c:pt idx="0">
                  <c:v>18.04</c:v>
                </c:pt>
                <c:pt idx="1">
                  <c:v>18.04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478177976"/>
        <c:axId val="478182104"/>
      </c:barChart>
      <c:lineChart>
        <c:grouping val="standard"/>
        <c:varyColors val="0"/>
        <c:ser>
          <c:idx val="2"/>
          <c:order val="2"/>
          <c:tx>
            <c:strRef>
              <c:f>Analysis!$A$16</c:f>
              <c:strCache>
                <c:ptCount val="1"/>
                <c:pt idx="0">
                  <c:v>Beschriftung Selling price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Analysis!$E$10</c:f>
                  <c:strCache>
                    <c:ptCount val="1"/>
                    <c:pt idx="0">
                      <c:v>26,2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Analysis!$F$10</c:f>
                  <c:strCache>
                    <c:ptCount val="1"/>
                    <c:pt idx="0">
                      <c:v>26,2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Analysis!$A$22:$B$22</c:f>
              <c:numCache>
                <c:formatCode>#,##0.00</c:formatCode>
                <c:ptCount val="2"/>
                <c:pt idx="0">
                  <c:v>29.2</c:v>
                </c:pt>
                <c:pt idx="1">
                  <c:v>29.2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177976"/>
        <c:axId val="478182104"/>
      </c:lineChart>
      <c:catAx>
        <c:axId val="47817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7818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182104"/>
        <c:scaling>
          <c:orientation val="minMax"/>
          <c:max val="32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478177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Analysis!#REF!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Analysis!$H$11:$I$11</c:f>
              <c:numCache>
                <c:formatCode>0.00</c:formatCode>
                <c:ptCount val="2"/>
                <c:pt idx="0" formatCode="#,##0.00">
                  <c:v>1.67</c:v>
                </c:pt>
                <c:pt idx="1">
                  <c:v>1.68</c:v>
                </c:pt>
              </c:numCache>
            </c:numRef>
          </c:val>
        </c:ser>
        <c:ser>
          <c:idx val="0"/>
          <c:order val="1"/>
          <c:tx>
            <c:strRef>
              <c:f>Analysis!$N$5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Analysis!$N$11:$O$11</c:f>
              <c:numCache>
                <c:formatCode>#,##0.00</c:formatCode>
                <c:ptCount val="2"/>
                <c:pt idx="0">
                  <c:v>2.32</c:v>
                </c:pt>
                <c:pt idx="1">
                  <c:v>2.32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478232872"/>
        <c:axId val="478237000"/>
      </c:barChart>
      <c:lineChart>
        <c:grouping val="standard"/>
        <c:varyColors val="0"/>
        <c:ser>
          <c:idx val="2"/>
          <c:order val="2"/>
          <c:tx>
            <c:strRef>
              <c:f>Analysis!$A$16</c:f>
              <c:strCache>
                <c:ptCount val="1"/>
                <c:pt idx="0">
                  <c:v>Beschriftung Selling price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Analysis!$E$11</c:f>
                  <c:strCache>
                    <c:ptCount val="1"/>
                    <c:pt idx="0">
                      <c:v>4,0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Analysis!$F$11</c:f>
                  <c:strCache>
                    <c:ptCount val="1"/>
                    <c:pt idx="0">
                      <c:v>4,0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Analysis!$A$23:$B$23</c:f>
              <c:numCache>
                <c:formatCode>#,##0.00</c:formatCode>
                <c:ptCount val="2"/>
                <c:pt idx="0">
                  <c:v>7.0</c:v>
                </c:pt>
                <c:pt idx="1">
                  <c:v>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232872"/>
        <c:axId val="478237000"/>
      </c:lineChart>
      <c:catAx>
        <c:axId val="47823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78237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37000"/>
        <c:scaling>
          <c:orientation val="minMax"/>
          <c:max val="32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478232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Analysis!$C$4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Analysis!$B$7:$C$7</c:f>
              <c:numCache>
                <c:formatCode>#,##0.00</c:formatCode>
                <c:ptCount val="2"/>
                <c:pt idx="0">
                  <c:v>2.0</c:v>
                </c:pt>
                <c:pt idx="1">
                  <c:v>3.0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9693128"/>
        <c:axId val="509697112"/>
      </c:barChart>
      <c:catAx>
        <c:axId val="509693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9697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697112"/>
        <c:scaling>
          <c:orientation val="minMax"/>
          <c:max val="4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509693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Analysis!$C$4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Analysis!$B$8:$C$8</c:f>
              <c:numCache>
                <c:formatCode>#,##0.00</c:formatCode>
                <c:ptCount val="2"/>
                <c:pt idx="0">
                  <c:v>0.5</c:v>
                </c:pt>
                <c:pt idx="1">
                  <c:v>0.8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0632664"/>
        <c:axId val="510427400"/>
      </c:barChart>
      <c:catAx>
        <c:axId val="510632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10427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427400"/>
        <c:scaling>
          <c:orientation val="minMax"/>
          <c:max val="4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510632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Analysis!$C$4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Analysis!$B$9:$C$9</c:f>
              <c:numCache>
                <c:formatCode>#,##0.00</c:formatCode>
                <c:ptCount val="2"/>
                <c:pt idx="0">
                  <c:v>1.0</c:v>
                </c:pt>
                <c:pt idx="1">
                  <c:v>0.5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9546248"/>
        <c:axId val="509770376"/>
      </c:barChart>
      <c:catAx>
        <c:axId val="50954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9770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770376"/>
        <c:scaling>
          <c:orientation val="minMax"/>
          <c:max val="4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509546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Analysis!$C$4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Analysis!$B$10:$C$10</c:f>
              <c:numCache>
                <c:formatCode>#,##0.00</c:formatCode>
                <c:ptCount val="2"/>
                <c:pt idx="0">
                  <c:v>0.5</c:v>
                </c:pt>
                <c:pt idx="1">
                  <c:v>0.3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9726024"/>
        <c:axId val="509580648"/>
      </c:barChart>
      <c:catAx>
        <c:axId val="509726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9580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580648"/>
        <c:scaling>
          <c:orientation val="minMax"/>
          <c:max val="4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509726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Analysis!$C$4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Analysis!$B$8:$C$8</c:f>
              <c:numCache>
                <c:formatCode>#,##0.00</c:formatCode>
                <c:ptCount val="2"/>
                <c:pt idx="0">
                  <c:v>0.5</c:v>
                </c:pt>
                <c:pt idx="1">
                  <c:v>0.8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0790008"/>
        <c:axId val="450793976"/>
      </c:barChart>
      <c:catAx>
        <c:axId val="45079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793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793976"/>
        <c:scaling>
          <c:orientation val="minMax"/>
          <c:max val="4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450790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Analysis!$C$4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Analysis!$B$11:$C$11</c:f>
              <c:numCache>
                <c:formatCode>#,##0.00</c:formatCode>
                <c:ptCount val="2"/>
                <c:pt idx="0">
                  <c:v>1.0</c:v>
                </c:pt>
                <c:pt idx="1">
                  <c:v>1.01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9647704"/>
        <c:axId val="509651672"/>
      </c:barChart>
      <c:catAx>
        <c:axId val="50964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9651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651672"/>
        <c:scaling>
          <c:orientation val="minMax"/>
          <c:max val="4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509647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Analysis!$E$5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Analysis!$E$7:$F$7</c:f>
              <c:numCache>
                <c:formatCode>#,##0.0</c:formatCode>
                <c:ptCount val="2"/>
                <c:pt idx="0">
                  <c:v>8.5</c:v>
                </c:pt>
                <c:pt idx="1">
                  <c:v>7.7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510609960"/>
        <c:axId val="510613928"/>
      </c:barChart>
      <c:catAx>
        <c:axId val="5106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10613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613928"/>
        <c:scaling>
          <c:orientation val="minMax"/>
          <c:max val="32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510609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Analysis!$L$4</c:f>
              <c:strCache>
                <c:ptCount val="1"/>
                <c:pt idx="0">
                  <c:v>CB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Analysis!$K$7:$L$7</c:f>
              <c:numCache>
                <c:formatCode>#,##0.0</c:formatCode>
                <c:ptCount val="2"/>
                <c:pt idx="0">
                  <c:v>8.079</c:v>
                </c:pt>
                <c:pt idx="1">
                  <c:v>9.739000000000001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10510504"/>
        <c:axId val="510502840"/>
      </c:barChart>
      <c:catAx>
        <c:axId val="51051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1050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502840"/>
        <c:scaling>
          <c:orientation val="minMax"/>
          <c:max val="13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510510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Analysis!$E$5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Analysis!$E$8:$F$8</c:f>
              <c:numCache>
                <c:formatCode>#,##0.0</c:formatCode>
                <c:ptCount val="2"/>
                <c:pt idx="0">
                  <c:v>8.0</c:v>
                </c:pt>
                <c:pt idx="1">
                  <c:v>7.3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50007912"/>
        <c:axId val="450353208"/>
      </c:barChart>
      <c:catAx>
        <c:axId val="45000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353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353208"/>
        <c:scaling>
          <c:orientation val="minMax"/>
          <c:max val="32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007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Analysis!$E$5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Analysis!$E$9:$F$9</c:f>
              <c:numCache>
                <c:formatCode>#,##0.0</c:formatCode>
                <c:ptCount val="2"/>
                <c:pt idx="0">
                  <c:v>10.0</c:v>
                </c:pt>
                <c:pt idx="1">
                  <c:v>10.2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50375672"/>
        <c:axId val="450379608"/>
      </c:barChart>
      <c:catAx>
        <c:axId val="45037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379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379608"/>
        <c:scaling>
          <c:orientation val="minMax"/>
          <c:max val="32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375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Analysis!$E$5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Analysis!$E$10:$F$10</c:f>
              <c:numCache>
                <c:formatCode>#,##0.0</c:formatCode>
                <c:ptCount val="2"/>
                <c:pt idx="0">
                  <c:v>26.2</c:v>
                </c:pt>
                <c:pt idx="1">
                  <c:v>26.2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50409672"/>
        <c:axId val="450413640"/>
      </c:barChart>
      <c:catAx>
        <c:axId val="45040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413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13640"/>
        <c:scaling>
          <c:orientation val="minMax"/>
          <c:max val="32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409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Analysis!$E$5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Analysis!$E$11:$F$11</c:f>
              <c:numCache>
                <c:formatCode>#,##0.0</c:formatCode>
                <c:ptCount val="2"/>
                <c:pt idx="0">
                  <c:v>4.0</c:v>
                </c:pt>
                <c:pt idx="1">
                  <c:v>4.0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50444472"/>
        <c:axId val="450448440"/>
      </c:barChart>
      <c:catAx>
        <c:axId val="45044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448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48440"/>
        <c:scaling>
          <c:orientation val="minMax"/>
          <c:max val="32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444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Analysis!$L$4</c:f>
              <c:strCache>
                <c:ptCount val="1"/>
                <c:pt idx="0">
                  <c:v>CB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Analysis!$K$8:$L$8</c:f>
              <c:numCache>
                <c:formatCode>#,##0.0</c:formatCode>
                <c:ptCount val="2"/>
                <c:pt idx="0">
                  <c:v>2.122</c:v>
                </c:pt>
                <c:pt idx="1">
                  <c:v>2.85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50479608"/>
        <c:axId val="450483576"/>
      </c:barChart>
      <c:catAx>
        <c:axId val="45047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483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83576"/>
        <c:scaling>
          <c:orientation val="minMax"/>
          <c:max val="13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47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Analysis!$L$4</c:f>
              <c:strCache>
                <c:ptCount val="1"/>
                <c:pt idx="0">
                  <c:v>CB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Analysis!$K$9:$L$9</c:f>
              <c:numCache>
                <c:formatCode>#,##0.0</c:formatCode>
                <c:ptCount val="2"/>
                <c:pt idx="0">
                  <c:v>4.928</c:v>
                </c:pt>
                <c:pt idx="1">
                  <c:v>2.575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50514760"/>
        <c:axId val="450518728"/>
      </c:barChart>
      <c:catAx>
        <c:axId val="45051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518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518728"/>
        <c:scaling>
          <c:orientation val="minMax"/>
          <c:max val="13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514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Analysis!$L$4</c:f>
              <c:strCache>
                <c:ptCount val="1"/>
                <c:pt idx="0">
                  <c:v>CB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Analysis!$K$10:$L$10</c:f>
              <c:numCache>
                <c:formatCode>#,##0.0</c:formatCode>
                <c:ptCount val="2"/>
                <c:pt idx="0">
                  <c:v>4.08</c:v>
                </c:pt>
                <c:pt idx="1">
                  <c:v>2.449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50549704"/>
        <c:axId val="450553672"/>
      </c:barChart>
      <c:catAx>
        <c:axId val="45054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553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553672"/>
        <c:scaling>
          <c:orientation val="minMax"/>
          <c:max val="12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549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Analysis!$C$4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Analysis!$B$9:$C$9</c:f>
              <c:numCache>
                <c:formatCode>#,##0.00</c:formatCode>
                <c:ptCount val="2"/>
                <c:pt idx="0">
                  <c:v>1.0</c:v>
                </c:pt>
                <c:pt idx="1">
                  <c:v>0.5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0824776"/>
        <c:axId val="450828744"/>
      </c:barChart>
      <c:catAx>
        <c:axId val="45082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828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828744"/>
        <c:scaling>
          <c:orientation val="minMax"/>
          <c:max val="4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450824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Analysis!$L$4</c:f>
              <c:strCache>
                <c:ptCount val="1"/>
                <c:pt idx="0">
                  <c:v>CB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Analysis!$K$11:$L$11</c:f>
              <c:numCache>
                <c:formatCode>#,##0.0</c:formatCode>
                <c:ptCount val="2"/>
                <c:pt idx="0">
                  <c:v>1.672</c:v>
                </c:pt>
                <c:pt idx="1">
                  <c:v>1.71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50584440"/>
        <c:axId val="450588408"/>
      </c:barChart>
      <c:catAx>
        <c:axId val="45058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588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588408"/>
        <c:scaling>
          <c:orientation val="minMax"/>
          <c:max val="13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584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112044664679807"/>
          <c:y val="0.0117993930341523"/>
          <c:w val="0.980390815948311"/>
          <c:h val="0.9262523531809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Analysis!$D$21</c:f>
              <c:strCache>
                <c:ptCount val="1"/>
                <c:pt idx="0">
                  <c:v>Bars, solid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Analysis!$E$21:$I$21</c:f>
              <c:numCache>
                <c:formatCode>#,##0.0</c:formatCode>
                <c:ptCount val="5"/>
                <c:pt idx="1">
                  <c:v>8.079</c:v>
                </c:pt>
                <c:pt idx="3">
                  <c:v>9.739000000000001</c:v>
                </c:pt>
              </c:numCache>
            </c:numRef>
          </c:val>
        </c:ser>
        <c:ser>
          <c:idx val="1"/>
          <c:order val="1"/>
          <c:tx>
            <c:strRef>
              <c:f>Analysis!$D$22</c:f>
              <c:strCache>
                <c:ptCount val="1"/>
                <c:pt idx="0">
                  <c:v>Bars, filled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Analysis!$E$22:$I$22</c:f>
              <c:numCache>
                <c:formatCode>#,##0.0</c:formatCode>
                <c:ptCount val="5"/>
                <c:pt idx="1">
                  <c:v>2.122</c:v>
                </c:pt>
                <c:pt idx="3">
                  <c:v>2.85</c:v>
                </c:pt>
              </c:numCache>
            </c:numRef>
          </c:val>
        </c:ser>
        <c:ser>
          <c:idx val="2"/>
          <c:order val="2"/>
          <c:tx>
            <c:strRef>
              <c:f>Analysis!$D$23</c:f>
              <c:strCache>
                <c:ptCount val="1"/>
                <c:pt idx="0">
                  <c:v>Small bars</c:v>
                </c:pt>
              </c:strCache>
            </c:strRef>
          </c:tx>
          <c:spPr>
            <a:pattFill prst="ltVert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Analysis!$E$23:$I$23</c:f>
              <c:numCache>
                <c:formatCode>#,##0.0</c:formatCode>
                <c:ptCount val="5"/>
                <c:pt idx="1">
                  <c:v>4.928</c:v>
                </c:pt>
                <c:pt idx="3">
                  <c:v>2.575</c:v>
                </c:pt>
              </c:numCache>
            </c:numRef>
          </c:val>
        </c:ser>
        <c:ser>
          <c:idx val="3"/>
          <c:order val="3"/>
          <c:tx>
            <c:strRef>
              <c:f>Analysis!$D$24</c:f>
              <c:strCache>
                <c:ptCount val="1"/>
                <c:pt idx="0">
                  <c:v>Pralinés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Analysis!$E$24:$I$24</c:f>
              <c:numCache>
                <c:formatCode>#,##0.0</c:formatCode>
                <c:ptCount val="5"/>
                <c:pt idx="1">
                  <c:v>4.08</c:v>
                </c:pt>
                <c:pt idx="3">
                  <c:v>2.449</c:v>
                </c:pt>
              </c:numCache>
            </c:numRef>
          </c:val>
        </c:ser>
        <c:ser>
          <c:idx val="4"/>
          <c:order val="4"/>
          <c:tx>
            <c:strRef>
              <c:f>Analysis!$D$25</c:f>
              <c:strCache>
                <c:ptCount val="1"/>
                <c:pt idx="0">
                  <c:v>Cacao drinks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C0C0C0" mc:Ignorable="a14" a14:legacySpreadsheetColorIndex="2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Analysis!$E$25:$I$25</c:f>
              <c:numCache>
                <c:formatCode>#,##0.0</c:formatCode>
                <c:ptCount val="5"/>
                <c:pt idx="1">
                  <c:v>1.672</c:v>
                </c:pt>
                <c:pt idx="3">
                  <c:v>1.71</c:v>
                </c:pt>
              </c:numCache>
            </c:numRef>
          </c:val>
        </c:ser>
        <c:ser>
          <c:idx val="5"/>
          <c:order val="5"/>
          <c:tx>
            <c:strRef>
              <c:f>Analysis!$D$27</c:f>
              <c:strCache>
                <c:ptCount val="1"/>
                <c:pt idx="0">
                  <c:v>Beschriftung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1"/>
              <c:layout/>
              <c:tx>
                <c:strRef>
                  <c:f>Analysis!$F$26</c:f>
                  <c:strCache>
                    <c:ptCount val="1"/>
                    <c:pt idx="0">
                      <c:v>20,9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Analysis!$H$26</c:f>
                  <c:strCache>
                    <c:ptCount val="1"/>
                    <c:pt idx="0">
                      <c:v>19,3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Analysis!$E$27:$I$27</c:f>
              <c:numCache>
                <c:formatCode>#,##0.00</c:formatCode>
                <c:ptCount val="5"/>
                <c:pt idx="1">
                  <c:v>1.6</c:v>
                </c:pt>
                <c:pt idx="3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0693592"/>
        <c:axId val="450697448"/>
      </c:barChart>
      <c:scatterChart>
        <c:scatterStyle val="lineMarker"/>
        <c:varyColors val="0"/>
        <c:ser>
          <c:idx val="6"/>
          <c:order val="6"/>
          <c:tx>
            <c:strRef>
              <c:f>Analysis!$M$16</c:f>
              <c:strCache>
                <c:ptCount val="1"/>
                <c:pt idx="0">
                  <c:v>Legende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Analysis!$L$18</c:f>
                  <c:strCache>
                    <c:ptCount val="1"/>
                    <c:pt idx="0">
                      <c:v>Solid Bar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Analysis!$L$19</c:f>
                  <c:strCache>
                    <c:ptCount val="1"/>
                    <c:pt idx="0">
                      <c:v>Filled Bar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Analysis!$L$20</c:f>
                  <c:strCache>
                    <c:ptCount val="1"/>
                    <c:pt idx="0">
                      <c:v>Small Bar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Analysis!$L$21</c:f>
                  <c:strCache>
                    <c:ptCount val="1"/>
                    <c:pt idx="0">
                      <c:v>Pralinés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Analysis!$L$22</c:f>
                  <c:strCache>
                    <c:ptCount val="1"/>
                    <c:pt idx="0">
                      <c:v>Cacao Drink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Analysis!$M$18:$M$22</c:f>
              <c:numCache>
                <c:formatCode>General</c:formatCode>
                <c:ptCount val="5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</c:numCache>
            </c:numRef>
          </c:xVal>
          <c:yVal>
            <c:numRef>
              <c:f>Analysis!$N$18:$N$22</c:f>
              <c:numCache>
                <c:formatCode>General</c:formatCode>
                <c:ptCount val="5"/>
                <c:pt idx="0">
                  <c:v>4.0395</c:v>
                </c:pt>
                <c:pt idx="1">
                  <c:v>9.140000000000001</c:v>
                </c:pt>
                <c:pt idx="2">
                  <c:v>12.665</c:v>
                </c:pt>
                <c:pt idx="3">
                  <c:v>17.169</c:v>
                </c:pt>
                <c:pt idx="4">
                  <c:v>20.045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693592"/>
        <c:axId val="450697448"/>
      </c:scatterChart>
      <c:catAx>
        <c:axId val="45069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697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697448"/>
        <c:scaling>
          <c:orientation val="minMax"/>
          <c:max val="25.0"/>
          <c:min val="0.0"/>
        </c:scaling>
        <c:delete val="1"/>
        <c:axPos val="l"/>
        <c:numFmt formatCode="General" sourceLinked="1"/>
        <c:majorTickMark val="out"/>
        <c:minorTickMark val="none"/>
        <c:tickLblPos val="nextTo"/>
        <c:crossAx val="450693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0542740841248304"/>
          <c:y val="0.0392156326379324"/>
          <c:w val="0.990502035278155"/>
          <c:h val="0.952379649778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Logic!$A$25</c:f>
              <c:strCache>
                <c:ptCount val="1"/>
                <c:pt idx="0">
                  <c:v>weiss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elete val="1"/>
          </c:dLbls>
          <c:cat>
            <c:strRef>
              <c:f>'2+12'!$C$5:$P$5</c:f>
              <c:strCache>
                <c:ptCount val="14"/>
                <c:pt idx="0">
                  <c:v>PLAN</c:v>
                </c:pt>
                <c:pt idx="1">
                  <c:v>Volume</c:v>
                </c:pt>
                <c:pt idx="2">
                  <c:v>Price</c:v>
                </c:pt>
                <c:pt idx="3">
                  <c:v>Mix</c:v>
                </c:pt>
                <c:pt idx="4">
                  <c:v>Mat.Price</c:v>
                </c:pt>
                <c:pt idx="5">
                  <c:v>Mat.Vol.</c:v>
                </c:pt>
                <c:pt idx="6">
                  <c:v>Others</c:v>
                </c:pt>
                <c:pt idx="13">
                  <c:v>ACT</c:v>
                </c:pt>
              </c:strCache>
            </c:strRef>
          </c:cat>
          <c:val>
            <c:numRef>
              <c:f>Logic!$B$25:$O$25</c:f>
              <c:numCache>
                <c:formatCode>0;\-0;#</c:formatCode>
                <c:ptCount val="14"/>
                <c:pt idx="1">
                  <c:v>1441.0</c:v>
                </c:pt>
                <c:pt idx="2">
                  <c:v>1197.0</c:v>
                </c:pt>
                <c:pt idx="3">
                  <c:v>0.0</c:v>
                </c:pt>
                <c:pt idx="4">
                  <c:v>0.0</c:v>
                </c:pt>
                <c:pt idx="5">
                  <c:v>1226.0</c:v>
                </c:pt>
                <c:pt idx="6">
                  <c:v>1538.0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ser>
          <c:idx val="1"/>
          <c:order val="1"/>
          <c:tx>
            <c:strRef>
              <c:f>Logic!$A$22</c:f>
              <c:strCache>
                <c:ptCount val="1"/>
                <c:pt idx="0">
                  <c:v>Anf. u. Ende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\+#,##0;\-#,##0;#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'2+12'!$C$5:$P$5</c:f>
              <c:strCache>
                <c:ptCount val="14"/>
                <c:pt idx="0">
                  <c:v>PLAN</c:v>
                </c:pt>
                <c:pt idx="1">
                  <c:v>Volume</c:v>
                </c:pt>
                <c:pt idx="2">
                  <c:v>Price</c:v>
                </c:pt>
                <c:pt idx="3">
                  <c:v>Mix</c:v>
                </c:pt>
                <c:pt idx="4">
                  <c:v>Mat.Price</c:v>
                </c:pt>
                <c:pt idx="5">
                  <c:v>Mat.Vol.</c:v>
                </c:pt>
                <c:pt idx="6">
                  <c:v>Others</c:v>
                </c:pt>
                <c:pt idx="13">
                  <c:v>ACT</c:v>
                </c:pt>
              </c:strCache>
            </c:strRef>
          </c:cat>
          <c:val>
            <c:numRef>
              <c:f>Logic!$B$22:$O$22</c:f>
              <c:numCache>
                <c:formatCode>0;\-0;#</c:formatCode>
                <c:ptCount val="14"/>
                <c:pt idx="0">
                  <c:v>1441.0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1538.0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</c:numCache>
            </c:numRef>
          </c:val>
        </c:ser>
        <c:ser>
          <c:idx val="3"/>
          <c:order val="2"/>
          <c:tx>
            <c:strRef>
              <c:f>Logic!$A$23</c:f>
              <c:strCache>
                <c:ptCount val="1"/>
                <c:pt idx="0">
                  <c:v>steigt, &gt; 0</c:v>
                </c:pt>
              </c:strCache>
            </c:strRef>
          </c:tx>
          <c:spPr>
            <a:solidFill>
              <a:srgbClr val="1FB714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'2+12'!$C$5:$P$5</c:f>
              <c:strCache>
                <c:ptCount val="14"/>
                <c:pt idx="0">
                  <c:v>PLAN</c:v>
                </c:pt>
                <c:pt idx="1">
                  <c:v>Volume</c:v>
                </c:pt>
                <c:pt idx="2">
                  <c:v>Price</c:v>
                </c:pt>
                <c:pt idx="3">
                  <c:v>Mix</c:v>
                </c:pt>
                <c:pt idx="4">
                  <c:v>Mat.Price</c:v>
                </c:pt>
                <c:pt idx="5">
                  <c:v>Mat.Vol.</c:v>
                </c:pt>
                <c:pt idx="6">
                  <c:v>Others</c:v>
                </c:pt>
                <c:pt idx="13">
                  <c:v>ACT</c:v>
                </c:pt>
              </c:strCache>
            </c:strRef>
          </c:cat>
          <c:val>
            <c:numRef>
              <c:f>Logic!$B$23:$O$23</c:f>
              <c:numCache>
                <c:formatCode>0;\-0;#</c:formatCode>
                <c:ptCount val="14"/>
                <c:pt idx="1">
                  <c:v>2547.0</c:v>
                </c:pt>
                <c:pt idx="2">
                  <c:v>0.0</c:v>
                </c:pt>
                <c:pt idx="3">
                  <c:v>0.0</c:v>
                </c:pt>
                <c:pt idx="4">
                  <c:v>1226.0</c:v>
                </c:pt>
                <c:pt idx="5">
                  <c:v>341.0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ser>
          <c:idx val="4"/>
          <c:order val="3"/>
          <c:tx>
            <c:strRef>
              <c:f>Logic!$A$27</c:f>
              <c:strCache>
                <c:ptCount val="1"/>
                <c:pt idx="0">
                  <c:v>fällt, &lt; 0</c:v>
                </c:pt>
              </c:strCache>
            </c:strRef>
          </c:tx>
          <c:spPr>
            <a:solidFill>
              <a:srgbClr val="DD0806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'2+12'!$C$5:$P$5</c:f>
              <c:strCache>
                <c:ptCount val="14"/>
                <c:pt idx="0">
                  <c:v>PLAN</c:v>
                </c:pt>
                <c:pt idx="1">
                  <c:v>Volume</c:v>
                </c:pt>
                <c:pt idx="2">
                  <c:v>Price</c:v>
                </c:pt>
                <c:pt idx="3">
                  <c:v>Mix</c:v>
                </c:pt>
                <c:pt idx="4">
                  <c:v>Mat.Price</c:v>
                </c:pt>
                <c:pt idx="5">
                  <c:v>Mat.Vol.</c:v>
                </c:pt>
                <c:pt idx="6">
                  <c:v>Others</c:v>
                </c:pt>
                <c:pt idx="13">
                  <c:v>ACT</c:v>
                </c:pt>
              </c:strCache>
            </c:strRef>
          </c:cat>
          <c:val>
            <c:numRef>
              <c:f>Logic!$B$27:$O$27</c:f>
              <c:numCache>
                <c:formatCode>0;\-0;#</c:formatCode>
                <c:ptCount val="14"/>
                <c:pt idx="1">
                  <c:v>0.0</c:v>
                </c:pt>
                <c:pt idx="2">
                  <c:v>0.0</c:v>
                </c:pt>
                <c:pt idx="3">
                  <c:v>-117.0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ser>
          <c:idx val="5"/>
          <c:order val="4"/>
          <c:tx>
            <c:strRef>
              <c:f>Logic!$A$24</c:f>
              <c:strCache>
                <c:ptCount val="1"/>
                <c:pt idx="0">
                  <c:v>fällt, &gt; 0</c:v>
                </c:pt>
              </c:strCache>
            </c:strRef>
          </c:tx>
          <c:spPr>
            <a:solidFill>
              <a:srgbClr val="DD0806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'2+12'!$C$5:$P$5</c:f>
              <c:strCache>
                <c:ptCount val="14"/>
                <c:pt idx="0">
                  <c:v>PLAN</c:v>
                </c:pt>
                <c:pt idx="1">
                  <c:v>Volume</c:v>
                </c:pt>
                <c:pt idx="2">
                  <c:v>Price</c:v>
                </c:pt>
                <c:pt idx="3">
                  <c:v>Mix</c:v>
                </c:pt>
                <c:pt idx="4">
                  <c:v>Mat.Price</c:v>
                </c:pt>
                <c:pt idx="5">
                  <c:v>Mat.Vol.</c:v>
                </c:pt>
                <c:pt idx="6">
                  <c:v>Others</c:v>
                </c:pt>
                <c:pt idx="13">
                  <c:v>ACT</c:v>
                </c:pt>
              </c:strCache>
            </c:strRef>
          </c:cat>
          <c:val>
            <c:numRef>
              <c:f>Logic!$B$24:$O$24</c:f>
              <c:numCache>
                <c:formatCode>0;\-0;#</c:formatCode>
                <c:ptCount val="14"/>
                <c:pt idx="1">
                  <c:v>0.0</c:v>
                </c:pt>
                <c:pt idx="2">
                  <c:v>2791.0</c:v>
                </c:pt>
                <c:pt idx="3">
                  <c:v>1197.0</c:v>
                </c:pt>
                <c:pt idx="4">
                  <c:v>0.0</c:v>
                </c:pt>
                <c:pt idx="5">
                  <c:v>0.0</c:v>
                </c:pt>
                <c:pt idx="6">
                  <c:v>29.0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ser>
          <c:idx val="6"/>
          <c:order val="5"/>
          <c:tx>
            <c:strRef>
              <c:f>Logic!$A$29</c:f>
              <c:strCache>
                <c:ptCount val="1"/>
                <c:pt idx="0">
                  <c:v>Bez., steigt, &gt; 0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numFmt formatCode="\+#,##0;\-#,##0;#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Logic!$B$29:$O$29</c:f>
              <c:numCache>
                <c:formatCode>0;\-0;#</c:formatCode>
                <c:ptCount val="14"/>
                <c:pt idx="1">
                  <c:v>2547.0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341.0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ser>
          <c:idx val="9"/>
          <c:order val="6"/>
          <c:tx>
            <c:strRef>
              <c:f>Logic!$A$34</c:f>
              <c:strCache>
                <c:ptCount val="1"/>
                <c:pt idx="0">
                  <c:v>Bez., fällt, &lt; 0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numFmt formatCode="\+#,##0;\-#,##0;#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Logic!$B$34:$O$34</c:f>
              <c:numCache>
                <c:formatCode>0;\-0;#</c:formatCode>
                <c:ptCount val="14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ser>
          <c:idx val="7"/>
          <c:order val="7"/>
          <c:tx>
            <c:strRef>
              <c:f>Logic!$A$30</c:f>
              <c:strCache>
                <c:ptCount val="1"/>
                <c:pt idx="0">
                  <c:v>Bez., fällt, &gt; 0 (and. Vorzeichen)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numFmt formatCode="\-#,##0;\+#,##0;#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Logic!$B$30:$O$30</c:f>
              <c:numCache>
                <c:formatCode>0;\-0;#</c:formatCode>
                <c:ptCount val="14"/>
                <c:pt idx="1">
                  <c:v>0.0</c:v>
                </c:pt>
                <c:pt idx="2">
                  <c:v>2791.0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29.0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ser>
          <c:idx val="2"/>
          <c:order val="8"/>
          <c:tx>
            <c:strRef>
              <c:f>Logic!$A$26</c:f>
              <c:strCache>
                <c:ptCount val="1"/>
                <c:pt idx="0">
                  <c:v>steigt, &lt; 0</c:v>
                </c:pt>
              </c:strCache>
            </c:strRef>
          </c:tx>
          <c:spPr>
            <a:solidFill>
              <a:srgbClr val="1FB714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'2+12'!$C$5:$P$5</c:f>
              <c:strCache>
                <c:ptCount val="14"/>
                <c:pt idx="0">
                  <c:v>PLAN</c:v>
                </c:pt>
                <c:pt idx="1">
                  <c:v>Volume</c:v>
                </c:pt>
                <c:pt idx="2">
                  <c:v>Price</c:v>
                </c:pt>
                <c:pt idx="3">
                  <c:v>Mix</c:v>
                </c:pt>
                <c:pt idx="4">
                  <c:v>Mat.Price</c:v>
                </c:pt>
                <c:pt idx="5">
                  <c:v>Mat.Vol.</c:v>
                </c:pt>
                <c:pt idx="6">
                  <c:v>Others</c:v>
                </c:pt>
                <c:pt idx="13">
                  <c:v>ACT</c:v>
                </c:pt>
              </c:strCache>
            </c:strRef>
          </c:cat>
          <c:val>
            <c:numRef>
              <c:f>Logic!$B$26:$O$26</c:f>
              <c:numCache>
                <c:formatCode>0;\-0;#</c:formatCode>
                <c:ptCount val="14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-117.0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ser>
          <c:idx val="10"/>
          <c:order val="9"/>
          <c:tx>
            <c:strRef>
              <c:f>Logic!$A$31</c:f>
              <c:strCache>
                <c:ptCount val="1"/>
                <c:pt idx="0">
                  <c:v>Bez., steigt, durch 0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numFmt formatCode="\+#,##0;\-#,##0;#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Logic!$B$31:$O$31</c:f>
              <c:numCache>
                <c:formatCode>0;\-0;#</c:formatCode>
                <c:ptCount val="14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1343.0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ser>
          <c:idx val="11"/>
          <c:order val="10"/>
          <c:tx>
            <c:strRef>
              <c:f>Logic!$A$32</c:f>
              <c:strCache>
                <c:ptCount val="1"/>
                <c:pt idx="0">
                  <c:v>Bez., fällt, durch 0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numFmt formatCode="\+#,##0;\-#,##0;#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Logic!$B$32:$O$32</c:f>
              <c:numCache>
                <c:formatCode>0;\-0;#</c:formatCode>
                <c:ptCount val="14"/>
                <c:pt idx="1">
                  <c:v>0.0</c:v>
                </c:pt>
                <c:pt idx="2">
                  <c:v>0.0</c:v>
                </c:pt>
                <c:pt idx="3">
                  <c:v>-1314.0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ser>
          <c:idx val="8"/>
          <c:order val="11"/>
          <c:tx>
            <c:strRef>
              <c:f>Logic!$A$33</c:f>
              <c:strCache>
                <c:ptCount val="1"/>
                <c:pt idx="0">
                  <c:v>Bez., steigt, &lt; 0 (anderes Vorzeichen)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numFmt formatCode="\-#,##0;\+#,##0;#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Logic!$B$33:$O$33</c:f>
              <c:numCache>
                <c:formatCode>0;\-0;#</c:formatCode>
                <c:ptCount val="14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508118280"/>
        <c:axId val="490645160"/>
      </c:barChart>
      <c:barChart>
        <c:barDir val="col"/>
        <c:grouping val="clustered"/>
        <c:varyColors val="0"/>
        <c:ser>
          <c:idx val="12"/>
          <c:order val="12"/>
          <c:tx>
            <c:strRef>
              <c:f>Logic!$A$36</c:f>
              <c:strCache>
                <c:ptCount val="1"/>
                <c:pt idx="0">
                  <c:v>X-Achse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'2+12'!$C$5:$P$5</c:f>
              <c:strCache>
                <c:ptCount val="14"/>
                <c:pt idx="0">
                  <c:v>PLAN</c:v>
                </c:pt>
                <c:pt idx="1">
                  <c:v>Volume</c:v>
                </c:pt>
                <c:pt idx="2">
                  <c:v>Price</c:v>
                </c:pt>
                <c:pt idx="3">
                  <c:v>Mix</c:v>
                </c:pt>
                <c:pt idx="4">
                  <c:v>Mat.Price</c:v>
                </c:pt>
                <c:pt idx="5">
                  <c:v>Mat.Vol.</c:v>
                </c:pt>
                <c:pt idx="6">
                  <c:v>Others</c:v>
                </c:pt>
                <c:pt idx="13">
                  <c:v>ACT</c:v>
                </c:pt>
              </c:strCache>
            </c:strRef>
          </c:cat>
          <c:val>
            <c:numRef>
              <c:f>Logic!$B$36:$O$36</c:f>
              <c:numCache>
                <c:formatCode>General</c:formatCode>
                <c:ptCount val="14"/>
                <c:pt idx="0">
                  <c:v>-55.0</c:v>
                </c:pt>
                <c:pt idx="1">
                  <c:v>-55.0</c:v>
                </c:pt>
                <c:pt idx="2">
                  <c:v>-55.0</c:v>
                </c:pt>
                <c:pt idx="3">
                  <c:v>-55.0</c:v>
                </c:pt>
                <c:pt idx="4">
                  <c:v>-55.0</c:v>
                </c:pt>
                <c:pt idx="5">
                  <c:v>-55.0</c:v>
                </c:pt>
                <c:pt idx="6">
                  <c:v>-55.0</c:v>
                </c:pt>
                <c:pt idx="7">
                  <c:v>-55.0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</c:numCache>
            </c:numRef>
          </c:val>
        </c:ser>
        <c:ser>
          <c:idx val="13"/>
          <c:order val="13"/>
          <c:tx>
            <c:strRef>
              <c:f>Logic!$A$37</c:f>
              <c:strCache>
                <c:ptCount val="1"/>
                <c:pt idx="0">
                  <c:v>X-Achse Beschriftung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'2+12'!$C$5</c:f>
                  <c:strCache>
                    <c:ptCount val="1"/>
                    <c:pt idx="0">
                      <c:v>PLAN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'2+12'!$D$5</c:f>
                  <c:strCache>
                    <c:ptCount val="1"/>
                    <c:pt idx="0">
                      <c:v>Volume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'2+12'!$E$5</c:f>
                  <c:strCache>
                    <c:ptCount val="1"/>
                    <c:pt idx="0">
                      <c:v>Price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'2+12'!$F$5</c:f>
                  <c:strCache>
                    <c:ptCount val="1"/>
                    <c:pt idx="0">
                      <c:v>Mix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'2+12'!$G$5</c:f>
                  <c:strCache>
                    <c:ptCount val="1"/>
                    <c:pt idx="0">
                      <c:v>Mat.Price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'2+12'!$H$5</c:f>
                  <c:strCache>
                    <c:ptCount val="1"/>
                    <c:pt idx="0">
                      <c:v>Mat.Vol.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'2+12'!$I$5</c:f>
                  <c:strCache>
                    <c:ptCount val="1"/>
                    <c:pt idx="0">
                      <c:v>Others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'2+12'!$P$5</c:f>
                  <c:strCache>
                    <c:ptCount val="1"/>
                    <c:pt idx="0">
                      <c:v>ACT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'2+12'!$C$5:$P$5</c:f>
              <c:strCache>
                <c:ptCount val="14"/>
                <c:pt idx="0">
                  <c:v>PLAN</c:v>
                </c:pt>
                <c:pt idx="1">
                  <c:v>Volume</c:v>
                </c:pt>
                <c:pt idx="2">
                  <c:v>Price</c:v>
                </c:pt>
                <c:pt idx="3">
                  <c:v>Mix</c:v>
                </c:pt>
                <c:pt idx="4">
                  <c:v>Mat.Price</c:v>
                </c:pt>
                <c:pt idx="5">
                  <c:v>Mat.Vol.</c:v>
                </c:pt>
                <c:pt idx="6">
                  <c:v>Others</c:v>
                </c:pt>
                <c:pt idx="13">
                  <c:v>ACT</c:v>
                </c:pt>
              </c:strCache>
            </c:strRef>
          </c:cat>
          <c:val>
            <c:numRef>
              <c:f>Logic!$B$37:$O$37</c:f>
              <c:numCache>
                <c:formatCode>General</c:formatCode>
                <c:ptCount val="14"/>
                <c:pt idx="0">
                  <c:v>-2000.0</c:v>
                </c:pt>
                <c:pt idx="1">
                  <c:v>-2000.0</c:v>
                </c:pt>
                <c:pt idx="2">
                  <c:v>-2000.0</c:v>
                </c:pt>
                <c:pt idx="3">
                  <c:v>-2000.0</c:v>
                </c:pt>
                <c:pt idx="4">
                  <c:v>-2000.0</c:v>
                </c:pt>
                <c:pt idx="5">
                  <c:v>-2000.0</c:v>
                </c:pt>
                <c:pt idx="6">
                  <c:v>-2000.0</c:v>
                </c:pt>
                <c:pt idx="7">
                  <c:v>-2000.0</c:v>
                </c:pt>
                <c:pt idx="8">
                  <c:v>-2000.0</c:v>
                </c:pt>
                <c:pt idx="9">
                  <c:v>-2000.0</c:v>
                </c:pt>
                <c:pt idx="10">
                  <c:v>-2000.0</c:v>
                </c:pt>
                <c:pt idx="11">
                  <c:v>-2000.0</c:v>
                </c:pt>
                <c:pt idx="12">
                  <c:v>-2000.0</c:v>
                </c:pt>
                <c:pt idx="13">
                  <c:v>-2000.0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14707944"/>
        <c:axId val="514130408"/>
      </c:barChart>
      <c:catAx>
        <c:axId val="5081182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490645160"/>
        <c:crossesAt val="0.0"/>
        <c:auto val="1"/>
        <c:lblAlgn val="ctr"/>
        <c:lblOffset val="100"/>
        <c:tickMarkSkip val="1"/>
        <c:noMultiLvlLbl val="0"/>
      </c:catAx>
      <c:valAx>
        <c:axId val="490645160"/>
        <c:scaling>
          <c:orientation val="minMax"/>
        </c:scaling>
        <c:delete val="1"/>
        <c:axPos val="l"/>
        <c:numFmt formatCode="0;\-0;#" sourceLinked="1"/>
        <c:majorTickMark val="out"/>
        <c:minorTickMark val="none"/>
        <c:tickLblPos val="nextTo"/>
        <c:crossAx val="508118280"/>
        <c:crosses val="autoZero"/>
        <c:crossBetween val="between"/>
        <c:majorUnit val="102.69"/>
      </c:valAx>
      <c:catAx>
        <c:axId val="514707944"/>
        <c:scaling>
          <c:orientation val="minMax"/>
        </c:scaling>
        <c:delete val="1"/>
        <c:axPos val="b"/>
        <c:majorTickMark val="out"/>
        <c:minorTickMark val="none"/>
        <c:tickLblPos val="nextTo"/>
        <c:crossAx val="514130408"/>
        <c:crosses val="autoZero"/>
        <c:auto val="1"/>
        <c:lblAlgn val="ctr"/>
        <c:lblOffset val="100"/>
        <c:noMultiLvlLbl val="0"/>
      </c:catAx>
      <c:valAx>
        <c:axId val="514130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147079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5" footer="0.5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Analysis!$C$4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Analysis!$B$10:$C$10</c:f>
              <c:numCache>
                <c:formatCode>#,##0.00</c:formatCode>
                <c:ptCount val="2"/>
                <c:pt idx="0">
                  <c:v>0.5</c:v>
                </c:pt>
                <c:pt idx="1">
                  <c:v>0.3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0859096"/>
        <c:axId val="450863064"/>
      </c:barChart>
      <c:catAx>
        <c:axId val="4508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863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863064"/>
        <c:scaling>
          <c:orientation val="minMax"/>
          <c:max val="4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450859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5344365041574"/>
          <c:y val="0.0303029182094941"/>
          <c:w val="0.946567531628879"/>
          <c:h val="0.780300143894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Analysis!$C$4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Analysis!$B$11:$C$11</c:f>
              <c:numCache>
                <c:formatCode>#,##0.00</c:formatCode>
                <c:ptCount val="2"/>
                <c:pt idx="0">
                  <c:v>1.0</c:v>
                </c:pt>
                <c:pt idx="1">
                  <c:v>1.01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0270504"/>
        <c:axId val="450274472"/>
      </c:barChart>
      <c:catAx>
        <c:axId val="45027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274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274472"/>
        <c:scaling>
          <c:orientation val="minMax"/>
          <c:max val="4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450270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Analysis!#REF!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 w="25400">
                <a:noFill/>
              </a:ln>
            </c:spPr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(Analysis!$H$7,Analysis!$I$7)</c:f>
              <c:numCache>
                <c:formatCode>0.00</c:formatCode>
                <c:ptCount val="2"/>
                <c:pt idx="0" formatCode="#,##0.00">
                  <c:v>4.04</c:v>
                </c:pt>
                <c:pt idx="1">
                  <c:v>3.24</c:v>
                </c:pt>
              </c:numCache>
            </c:numRef>
          </c:val>
        </c:ser>
        <c:ser>
          <c:idx val="0"/>
          <c:order val="1"/>
          <c:tx>
            <c:strRef>
              <c:f>Analysis!$N$5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Analysis!$N$7:$O$7</c:f>
              <c:numCache>
                <c:formatCode>#,##0.00</c:formatCode>
                <c:ptCount val="2"/>
                <c:pt idx="0">
                  <c:v>4.46</c:v>
                </c:pt>
                <c:pt idx="1">
                  <c:v>4.46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450330088"/>
        <c:axId val="450334216"/>
      </c:barChart>
      <c:lineChart>
        <c:grouping val="standard"/>
        <c:varyColors val="0"/>
        <c:ser>
          <c:idx val="2"/>
          <c:order val="2"/>
          <c:tx>
            <c:strRef>
              <c:f>Analysis!$A$16</c:f>
              <c:strCache>
                <c:ptCount val="1"/>
                <c:pt idx="0">
                  <c:v>Beschriftung Selling price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Analysis!$E$7</c:f>
                  <c:strCache>
                    <c:ptCount val="1"/>
                    <c:pt idx="0">
                      <c:v>8,5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Analysis!$F$7</c:f>
                  <c:strCache>
                    <c:ptCount val="1"/>
                    <c:pt idx="0">
                      <c:v>7,7</c:v>
                    </c:pt>
                  </c:strCache>
                </c:strRef>
              </c:tx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Analysis!$K$6:$L$6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Analysis!$A$19:$B$19</c:f>
              <c:numCache>
                <c:formatCode>#,##0.00</c:formatCode>
                <c:ptCount val="2"/>
                <c:pt idx="0">
                  <c:v>11.5</c:v>
                </c:pt>
                <c:pt idx="1">
                  <c:v>10.7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30088"/>
        <c:axId val="450334216"/>
      </c:lineChart>
      <c:catAx>
        <c:axId val="450330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334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334216"/>
        <c:scaling>
          <c:orientation val="minMax"/>
          <c:max val="32.0"/>
          <c:min val="0.0"/>
        </c:scaling>
        <c:delete val="1"/>
        <c:axPos val="l"/>
        <c:numFmt formatCode="#,##0.00" sourceLinked="1"/>
        <c:majorTickMark val="out"/>
        <c:minorTickMark val="none"/>
        <c:tickLblPos val="nextTo"/>
        <c:crossAx val="450330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Analysis!$L$4</c:f>
              <c:strCache>
                <c:ptCount val="1"/>
                <c:pt idx="0">
                  <c:v>CB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Analysis!$K$7:$L$7</c:f>
              <c:numCache>
                <c:formatCode>#,##0.0</c:formatCode>
                <c:ptCount val="2"/>
                <c:pt idx="0">
                  <c:v>8.079</c:v>
                </c:pt>
                <c:pt idx="1">
                  <c:v>9.739000000000001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50148760"/>
        <c:axId val="450152728"/>
      </c:barChart>
      <c:catAx>
        <c:axId val="45014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152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152728"/>
        <c:scaling>
          <c:orientation val="minMax"/>
          <c:max val="13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148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Analysis!$L$4</c:f>
              <c:strCache>
                <c:ptCount val="1"/>
                <c:pt idx="0">
                  <c:v>CB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Analysis!$K$8:$L$8</c:f>
              <c:numCache>
                <c:formatCode>#,##0.0</c:formatCode>
                <c:ptCount val="2"/>
                <c:pt idx="0">
                  <c:v>2.122</c:v>
                </c:pt>
                <c:pt idx="1">
                  <c:v>2.85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50182968"/>
        <c:axId val="450186936"/>
      </c:barChart>
      <c:catAx>
        <c:axId val="45018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186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186936"/>
        <c:scaling>
          <c:orientation val="minMax"/>
          <c:max val="13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182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7692596616395"/>
          <c:y val="0.0303029182094941"/>
          <c:w val="0.946154734595416"/>
          <c:h val="0.780300143894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Analysis!$L$4</c:f>
              <c:strCache>
                <c:ptCount val="1"/>
                <c:pt idx="0">
                  <c:v>CB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1"/>
            <c:bubble3D val="0"/>
            <c:spPr>
              <a:solidFill>
                <a:srgbClr val="808080"/>
              </a:solidFill>
              <a:ln w="25400">
                <a:noFill/>
              </a:ln>
            </c:spPr>
          </c:dPt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Analysis!$B$6:$C$6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Analysis!$K$9:$L$9</c:f>
              <c:numCache>
                <c:formatCode>#,##0.0</c:formatCode>
                <c:ptCount val="2"/>
                <c:pt idx="0">
                  <c:v>4.928</c:v>
                </c:pt>
                <c:pt idx="1">
                  <c:v>2.575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50217176"/>
        <c:axId val="450221144"/>
      </c:barChart>
      <c:catAx>
        <c:axId val="45021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221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221144"/>
        <c:scaling>
          <c:orientation val="minMax"/>
          <c:max val="13.0"/>
          <c:min val="0.0"/>
        </c:scaling>
        <c:delete val="1"/>
        <c:axPos val="l"/>
        <c:numFmt formatCode="#,##0.0" sourceLinked="1"/>
        <c:majorTickMark val="out"/>
        <c:minorTickMark val="none"/>
        <c:tickLblPos val="nextTo"/>
        <c:crossAx val="450217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image" Target="../media/image1.png"/><Relationship Id="rId17" Type="http://schemas.openxmlformats.org/officeDocument/2006/relationships/image" Target="../media/image2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26.xml"/><Relationship Id="rId12" Type="http://schemas.openxmlformats.org/officeDocument/2006/relationships/chart" Target="../charts/chart27.xml"/><Relationship Id="rId13" Type="http://schemas.openxmlformats.org/officeDocument/2006/relationships/chart" Target="../charts/chart28.xml"/><Relationship Id="rId14" Type="http://schemas.openxmlformats.org/officeDocument/2006/relationships/chart" Target="../charts/chart29.xml"/><Relationship Id="rId15" Type="http://schemas.openxmlformats.org/officeDocument/2006/relationships/chart" Target="../charts/chart30.xml"/><Relationship Id="rId16" Type="http://schemas.openxmlformats.org/officeDocument/2006/relationships/chart" Target="../charts/chart31.xml"/><Relationship Id="rId1" Type="http://schemas.openxmlformats.org/officeDocument/2006/relationships/chart" Target="../charts/chart16.xml"/><Relationship Id="rId2" Type="http://schemas.openxmlformats.org/officeDocument/2006/relationships/chart" Target="../charts/chart17.xml"/><Relationship Id="rId3" Type="http://schemas.openxmlformats.org/officeDocument/2006/relationships/chart" Target="../charts/chart18.xml"/><Relationship Id="rId4" Type="http://schemas.openxmlformats.org/officeDocument/2006/relationships/chart" Target="../charts/chart19.xml"/><Relationship Id="rId5" Type="http://schemas.openxmlformats.org/officeDocument/2006/relationships/chart" Target="../charts/chart20.xml"/><Relationship Id="rId6" Type="http://schemas.openxmlformats.org/officeDocument/2006/relationships/chart" Target="../charts/chart21.xml"/><Relationship Id="rId7" Type="http://schemas.openxmlformats.org/officeDocument/2006/relationships/chart" Target="../charts/chart22.xml"/><Relationship Id="rId8" Type="http://schemas.openxmlformats.org/officeDocument/2006/relationships/chart" Target="../charts/chart23.xml"/><Relationship Id="rId9" Type="http://schemas.openxmlformats.org/officeDocument/2006/relationships/chart" Target="../charts/chart24.xml"/><Relationship Id="rId10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71</xdr:row>
      <xdr:rowOff>0</xdr:rowOff>
    </xdr:from>
    <xdr:to>
      <xdr:col>3</xdr:col>
      <xdr:colOff>0</xdr:colOff>
      <xdr:row>82</xdr:row>
      <xdr:rowOff>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71</xdr:row>
      <xdr:rowOff>0</xdr:rowOff>
    </xdr:from>
    <xdr:to>
      <xdr:col>6</xdr:col>
      <xdr:colOff>0</xdr:colOff>
      <xdr:row>82</xdr:row>
      <xdr:rowOff>0</xdr:rowOff>
    </xdr:to>
    <xdr:graphicFrame macro="">
      <xdr:nvGraphicFramePr>
        <xdr:cNvPr id="10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71</xdr:row>
      <xdr:rowOff>0</xdr:rowOff>
    </xdr:from>
    <xdr:to>
      <xdr:col>9</xdr:col>
      <xdr:colOff>0</xdr:colOff>
      <xdr:row>82</xdr:row>
      <xdr:rowOff>0</xdr:rowOff>
    </xdr:to>
    <xdr:graphicFrame macro="">
      <xdr:nvGraphicFramePr>
        <xdr:cNvPr id="102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12</xdr:col>
      <xdr:colOff>0</xdr:colOff>
      <xdr:row>82</xdr:row>
      <xdr:rowOff>0</xdr:rowOff>
    </xdr:to>
    <xdr:graphicFrame macro="">
      <xdr:nvGraphicFramePr>
        <xdr:cNvPr id="10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71</xdr:row>
      <xdr:rowOff>0</xdr:rowOff>
    </xdr:from>
    <xdr:to>
      <xdr:col>15</xdr:col>
      <xdr:colOff>12700</xdr:colOff>
      <xdr:row>82</xdr:row>
      <xdr:rowOff>0</xdr:rowOff>
    </xdr:to>
    <xdr:graphicFrame macro="">
      <xdr:nvGraphicFramePr>
        <xdr:cNvPr id="102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60</xdr:row>
      <xdr:rowOff>25400</xdr:rowOff>
    </xdr:from>
    <xdr:to>
      <xdr:col>2</xdr:col>
      <xdr:colOff>812800</xdr:colOff>
      <xdr:row>71</xdr:row>
      <xdr:rowOff>25400</xdr:rowOff>
    </xdr:to>
    <xdr:graphicFrame macro="">
      <xdr:nvGraphicFramePr>
        <xdr:cNvPr id="1030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3</xdr:col>
      <xdr:colOff>0</xdr:colOff>
      <xdr:row>60</xdr:row>
      <xdr:rowOff>0</xdr:rowOff>
    </xdr:to>
    <xdr:graphicFrame macro="">
      <xdr:nvGraphicFramePr>
        <xdr:cNvPr id="103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49</xdr:row>
      <xdr:rowOff>0</xdr:rowOff>
    </xdr:from>
    <xdr:to>
      <xdr:col>6</xdr:col>
      <xdr:colOff>0</xdr:colOff>
      <xdr:row>60</xdr:row>
      <xdr:rowOff>0</xdr:rowOff>
    </xdr:to>
    <xdr:graphicFrame macro="">
      <xdr:nvGraphicFramePr>
        <xdr:cNvPr id="1042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49</xdr:row>
      <xdr:rowOff>0</xdr:rowOff>
    </xdr:from>
    <xdr:to>
      <xdr:col>9</xdr:col>
      <xdr:colOff>0</xdr:colOff>
      <xdr:row>60</xdr:row>
      <xdr:rowOff>0</xdr:rowOff>
    </xdr:to>
    <xdr:graphicFrame macro="">
      <xdr:nvGraphicFramePr>
        <xdr:cNvPr id="104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49</xdr:row>
      <xdr:rowOff>0</xdr:rowOff>
    </xdr:from>
    <xdr:to>
      <xdr:col>12</xdr:col>
      <xdr:colOff>0</xdr:colOff>
      <xdr:row>60</xdr:row>
      <xdr:rowOff>0</xdr:rowOff>
    </xdr:to>
    <xdr:graphicFrame macro="">
      <xdr:nvGraphicFramePr>
        <xdr:cNvPr id="1044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0</xdr:colOff>
      <xdr:row>49</xdr:row>
      <xdr:rowOff>0</xdr:rowOff>
    </xdr:from>
    <xdr:to>
      <xdr:col>15</xdr:col>
      <xdr:colOff>0</xdr:colOff>
      <xdr:row>60</xdr:row>
      <xdr:rowOff>0</xdr:rowOff>
    </xdr:to>
    <xdr:graphicFrame macro="">
      <xdr:nvGraphicFramePr>
        <xdr:cNvPr id="1045" name="Diagram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190500</xdr:colOff>
      <xdr:row>60</xdr:row>
      <xdr:rowOff>25400</xdr:rowOff>
    </xdr:from>
    <xdr:to>
      <xdr:col>5</xdr:col>
      <xdr:colOff>812800</xdr:colOff>
      <xdr:row>71</xdr:row>
      <xdr:rowOff>25400</xdr:rowOff>
    </xdr:to>
    <xdr:graphicFrame macro="">
      <xdr:nvGraphicFramePr>
        <xdr:cNvPr id="1046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190500</xdr:colOff>
      <xdr:row>60</xdr:row>
      <xdr:rowOff>25400</xdr:rowOff>
    </xdr:from>
    <xdr:to>
      <xdr:col>8</xdr:col>
      <xdr:colOff>812800</xdr:colOff>
      <xdr:row>71</xdr:row>
      <xdr:rowOff>25400</xdr:rowOff>
    </xdr:to>
    <xdr:graphicFrame macro="">
      <xdr:nvGraphicFramePr>
        <xdr:cNvPr id="1047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190500</xdr:colOff>
      <xdr:row>60</xdr:row>
      <xdr:rowOff>25400</xdr:rowOff>
    </xdr:from>
    <xdr:to>
      <xdr:col>11</xdr:col>
      <xdr:colOff>812800</xdr:colOff>
      <xdr:row>71</xdr:row>
      <xdr:rowOff>25400</xdr:rowOff>
    </xdr:to>
    <xdr:graphicFrame macro="">
      <xdr:nvGraphicFramePr>
        <xdr:cNvPr id="1048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190500</xdr:colOff>
      <xdr:row>60</xdr:row>
      <xdr:rowOff>25400</xdr:rowOff>
    </xdr:from>
    <xdr:to>
      <xdr:col>14</xdr:col>
      <xdr:colOff>812800</xdr:colOff>
      <xdr:row>71</xdr:row>
      <xdr:rowOff>25400</xdr:rowOff>
    </xdr:to>
    <xdr:graphicFrame macro="">
      <xdr:nvGraphicFramePr>
        <xdr:cNvPr id="1049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635000</xdr:colOff>
          <xdr:row>15</xdr:row>
          <xdr:rowOff>38100</xdr:rowOff>
        </xdr:from>
        <xdr:to>
          <xdr:col>14</xdr:col>
          <xdr:colOff>800100</xdr:colOff>
          <xdr:row>33</xdr:row>
          <xdr:rowOff>0</xdr:rowOff>
        </xdr:to>
        <xdr:pic>
          <xdr:nvPicPr>
            <xdr:cNvPr id="1070" name="Picture 46"/>
            <xdr:cNvPicPr>
              <a:picLocks noChangeAspect="1" noChangeArrowheads="1"/>
              <a:extLst>
                <a:ext uri="{84589F7E-364E-4C9E-8A38-B11213B215E9}">
                  <a14:cameraTool cellRange="'2+12'!$C$14:$J$34" spid="_x0000_s1089"/>
                </a:ext>
              </a:extLst>
            </xdr:cNvPicPr>
          </xdr:nvPicPr>
          <xdr:blipFill>
            <a:blip xmlns:r="http://schemas.openxmlformats.org/officeDocument/2006/relationships" r:embed="rId16"/>
            <a:srcRect/>
            <a:stretch>
              <a:fillRect/>
            </a:stretch>
          </xdr:blipFill>
          <xdr:spPr bwMode="auto">
            <a:xfrm>
              <a:off x="4546600" y="2603500"/>
              <a:ext cx="4699000" cy="2705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152400</xdr:rowOff>
        </xdr:from>
        <xdr:to>
          <xdr:col>7</xdr:col>
          <xdr:colOff>279400</xdr:colOff>
          <xdr:row>36</xdr:row>
          <xdr:rowOff>152400</xdr:rowOff>
        </xdr:to>
        <xdr:pic>
          <xdr:nvPicPr>
            <xdr:cNvPr id="1071" name="Picture 47"/>
            <xdr:cNvPicPr>
              <a:picLocks noChangeAspect="1" noChangeArrowheads="1"/>
              <a:extLst>
                <a:ext uri="{84589F7E-364E-4C9E-8A38-B11213B215E9}">
                  <a14:cameraTool cellRange="'CB-Structure'!$B$6:$H$31" spid="_x0000_s1090"/>
                </a:ext>
              </a:extLst>
            </xdr:cNvPicPr>
          </xdr:nvPicPr>
          <xdr:blipFill>
            <a:blip xmlns:r="http://schemas.openxmlformats.org/officeDocument/2006/relationships" r:embed="rId17"/>
            <a:srcRect/>
            <a:stretch>
              <a:fillRect/>
            </a:stretch>
          </xdr:blipFill>
          <xdr:spPr bwMode="auto">
            <a:xfrm>
              <a:off x="0" y="2260600"/>
              <a:ext cx="4191000" cy="36576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04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05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051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052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15</xdr:col>
      <xdr:colOff>12700</xdr:colOff>
      <xdr:row>0</xdr:row>
      <xdr:rowOff>0</xdr:rowOff>
    </xdr:to>
    <xdr:graphicFrame macro="">
      <xdr:nvGraphicFramePr>
        <xdr:cNvPr id="2053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054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055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056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057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058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2059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060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061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062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2063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064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25400</xdr:colOff>
      <xdr:row>9</xdr:row>
      <xdr:rowOff>12700</xdr:rowOff>
    </xdr:from>
    <xdr:to>
      <xdr:col>5</xdr:col>
      <xdr:colOff>177800</xdr:colOff>
      <xdr:row>10</xdr:row>
      <xdr:rowOff>114300</xdr:rowOff>
    </xdr:to>
    <xdr:sp macro="" textlink="">
      <xdr:nvSpPr>
        <xdr:cNvPr id="2065" name="Line 17"/>
        <xdr:cNvSpPr>
          <a:spLocks noChangeShapeType="1"/>
        </xdr:cNvSpPr>
      </xdr:nvSpPr>
      <xdr:spPr bwMode="auto">
        <a:xfrm>
          <a:off x="1879600" y="1600200"/>
          <a:ext cx="1181100" cy="2540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</xdr:col>
      <xdr:colOff>25400</xdr:colOff>
      <xdr:row>13</xdr:row>
      <xdr:rowOff>50800</xdr:rowOff>
    </xdr:from>
    <xdr:to>
      <xdr:col>5</xdr:col>
      <xdr:colOff>177800</xdr:colOff>
      <xdr:row>13</xdr:row>
      <xdr:rowOff>50800</xdr:rowOff>
    </xdr:to>
    <xdr:sp macro="" textlink="">
      <xdr:nvSpPr>
        <xdr:cNvPr id="2066" name="Line 18"/>
        <xdr:cNvSpPr>
          <a:spLocks noChangeShapeType="1"/>
        </xdr:cNvSpPr>
      </xdr:nvSpPr>
      <xdr:spPr bwMode="auto">
        <a:xfrm>
          <a:off x="1879600" y="2247900"/>
          <a:ext cx="11811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</xdr:col>
      <xdr:colOff>25400</xdr:colOff>
      <xdr:row>16</xdr:row>
      <xdr:rowOff>12700</xdr:rowOff>
    </xdr:from>
    <xdr:to>
      <xdr:col>5</xdr:col>
      <xdr:colOff>177800</xdr:colOff>
      <xdr:row>18</xdr:row>
      <xdr:rowOff>76200</xdr:rowOff>
    </xdr:to>
    <xdr:sp macro="" textlink="">
      <xdr:nvSpPr>
        <xdr:cNvPr id="2067" name="Line 19"/>
        <xdr:cNvSpPr>
          <a:spLocks noChangeShapeType="1"/>
        </xdr:cNvSpPr>
      </xdr:nvSpPr>
      <xdr:spPr bwMode="auto">
        <a:xfrm flipV="1">
          <a:off x="1879600" y="2667000"/>
          <a:ext cx="1181100" cy="3683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</xdr:col>
      <xdr:colOff>25400</xdr:colOff>
      <xdr:row>19</xdr:row>
      <xdr:rowOff>12700</xdr:rowOff>
    </xdr:from>
    <xdr:to>
      <xdr:col>5</xdr:col>
      <xdr:colOff>177800</xdr:colOff>
      <xdr:row>20</xdr:row>
      <xdr:rowOff>114300</xdr:rowOff>
    </xdr:to>
    <xdr:sp macro="" textlink="">
      <xdr:nvSpPr>
        <xdr:cNvPr id="2068" name="Line 20"/>
        <xdr:cNvSpPr>
          <a:spLocks noChangeShapeType="1"/>
        </xdr:cNvSpPr>
      </xdr:nvSpPr>
      <xdr:spPr bwMode="auto">
        <a:xfrm flipV="1">
          <a:off x="1879600" y="3124200"/>
          <a:ext cx="1181100" cy="2540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4</xdr:col>
      <xdr:colOff>165100</xdr:colOff>
      <xdr:row>11</xdr:row>
      <xdr:rowOff>38100</xdr:rowOff>
    </xdr:from>
    <xdr:to>
      <xdr:col>4</xdr:col>
      <xdr:colOff>698500</xdr:colOff>
      <xdr:row>12</xdr:row>
      <xdr:rowOff>114300</xdr:rowOff>
    </xdr:to>
    <xdr:sp macro="" textlink="">
      <xdr:nvSpPr>
        <xdr:cNvPr id="2069" name="Oval 21"/>
        <xdr:cNvSpPr>
          <a:spLocks noChangeArrowheads="1"/>
        </xdr:cNvSpPr>
      </xdr:nvSpPr>
      <xdr:spPr bwMode="auto">
        <a:xfrm>
          <a:off x="2222500" y="1930400"/>
          <a:ext cx="53340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-1,7</a:t>
          </a:r>
        </a:p>
      </xdr:txBody>
    </xdr:sp>
    <xdr:clientData/>
  </xdr:twoCellAnchor>
  <xdr:twoCellAnchor>
    <xdr:from>
      <xdr:col>4</xdr:col>
      <xdr:colOff>165100</xdr:colOff>
      <xdr:row>14</xdr:row>
      <xdr:rowOff>101600</xdr:rowOff>
    </xdr:from>
    <xdr:to>
      <xdr:col>4</xdr:col>
      <xdr:colOff>698500</xdr:colOff>
      <xdr:row>16</xdr:row>
      <xdr:rowOff>25400</xdr:rowOff>
    </xdr:to>
    <xdr:sp macro="" textlink="">
      <xdr:nvSpPr>
        <xdr:cNvPr id="2070" name="Oval 22"/>
        <xdr:cNvSpPr>
          <a:spLocks noChangeArrowheads="1"/>
        </xdr:cNvSpPr>
      </xdr:nvSpPr>
      <xdr:spPr bwMode="auto">
        <a:xfrm>
          <a:off x="2222500" y="2451100"/>
          <a:ext cx="53340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-2,3</a:t>
          </a:r>
        </a:p>
      </xdr:txBody>
    </xdr:sp>
    <xdr:clientData/>
  </xdr:twoCellAnchor>
  <xdr:twoCellAnchor>
    <xdr:from>
      <xdr:col>4</xdr:col>
      <xdr:colOff>139700</xdr:colOff>
      <xdr:row>23</xdr:row>
      <xdr:rowOff>50800</xdr:rowOff>
    </xdr:from>
    <xdr:to>
      <xdr:col>4</xdr:col>
      <xdr:colOff>685800</xdr:colOff>
      <xdr:row>24</xdr:row>
      <xdr:rowOff>139700</xdr:rowOff>
    </xdr:to>
    <xdr:sp macro="" textlink="">
      <xdr:nvSpPr>
        <xdr:cNvPr id="2071" name="Oval 23"/>
        <xdr:cNvSpPr>
          <a:spLocks noChangeArrowheads="1"/>
        </xdr:cNvSpPr>
      </xdr:nvSpPr>
      <xdr:spPr bwMode="auto">
        <a:xfrm>
          <a:off x="2197100" y="3771900"/>
          <a:ext cx="546100" cy="241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+1,6</a:t>
          </a:r>
        </a:p>
      </xdr:txBody>
    </xdr:sp>
    <xdr:clientData/>
  </xdr:twoCellAnchor>
  <xdr:twoCellAnchor>
    <xdr:from>
      <xdr:col>5</xdr:col>
      <xdr:colOff>762000</xdr:colOff>
      <xdr:row>9</xdr:row>
      <xdr:rowOff>0</xdr:rowOff>
    </xdr:from>
    <xdr:to>
      <xdr:col>7</xdr:col>
      <xdr:colOff>215900</xdr:colOff>
      <xdr:row>9</xdr:row>
      <xdr:rowOff>0</xdr:rowOff>
    </xdr:to>
    <xdr:sp macro="" textlink="">
      <xdr:nvSpPr>
        <xdr:cNvPr id="2072" name="Line 24"/>
        <xdr:cNvSpPr>
          <a:spLocks noChangeShapeType="1"/>
        </xdr:cNvSpPr>
      </xdr:nvSpPr>
      <xdr:spPr bwMode="auto">
        <a:xfrm>
          <a:off x="3644900" y="1587500"/>
          <a:ext cx="48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</xdr:col>
      <xdr:colOff>12700</xdr:colOff>
      <xdr:row>7</xdr:row>
      <xdr:rowOff>50800</xdr:rowOff>
    </xdr:from>
    <xdr:to>
      <xdr:col>7</xdr:col>
      <xdr:colOff>190500</xdr:colOff>
      <xdr:row>7</xdr:row>
      <xdr:rowOff>50800</xdr:rowOff>
    </xdr:to>
    <xdr:sp macro="" textlink="">
      <xdr:nvSpPr>
        <xdr:cNvPr id="2073" name="Line 25"/>
        <xdr:cNvSpPr>
          <a:spLocks noChangeShapeType="1"/>
        </xdr:cNvSpPr>
      </xdr:nvSpPr>
      <xdr:spPr bwMode="auto">
        <a:xfrm>
          <a:off x="1866900" y="1333500"/>
          <a:ext cx="2235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177800</xdr:colOff>
      <xdr:row>9</xdr:row>
      <xdr:rowOff>0</xdr:rowOff>
    </xdr:from>
    <xdr:to>
      <xdr:col>7</xdr:col>
      <xdr:colOff>254000</xdr:colOff>
      <xdr:row>9</xdr:row>
      <xdr:rowOff>88900</xdr:rowOff>
    </xdr:to>
    <xdr:sp macro="" textlink="">
      <xdr:nvSpPr>
        <xdr:cNvPr id="2074" name="AutoShape 26"/>
        <xdr:cNvSpPr>
          <a:spLocks noChangeArrowheads="1"/>
        </xdr:cNvSpPr>
      </xdr:nvSpPr>
      <xdr:spPr bwMode="auto">
        <a:xfrm>
          <a:off x="4089400" y="1587500"/>
          <a:ext cx="76200" cy="889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165100</xdr:colOff>
      <xdr:row>6</xdr:row>
      <xdr:rowOff>127000</xdr:rowOff>
    </xdr:from>
    <xdr:to>
      <xdr:col>7</xdr:col>
      <xdr:colOff>241300</xdr:colOff>
      <xdr:row>7</xdr:row>
      <xdr:rowOff>63500</xdr:rowOff>
    </xdr:to>
    <xdr:sp macro="" textlink="">
      <xdr:nvSpPr>
        <xdr:cNvPr id="2075" name="AutoShape 27"/>
        <xdr:cNvSpPr>
          <a:spLocks noChangeArrowheads="1"/>
        </xdr:cNvSpPr>
      </xdr:nvSpPr>
      <xdr:spPr bwMode="auto">
        <a:xfrm flipV="1">
          <a:off x="4076700" y="1257300"/>
          <a:ext cx="76200" cy="889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7</xdr:col>
      <xdr:colOff>12700</xdr:colOff>
      <xdr:row>7</xdr:row>
      <xdr:rowOff>101600</xdr:rowOff>
    </xdr:from>
    <xdr:ext cx="393700" cy="203200"/>
    <xdr:sp macro="" textlink="">
      <xdr:nvSpPr>
        <xdr:cNvPr id="2076" name="Text Box 28"/>
        <xdr:cNvSpPr txBox="1">
          <a:spLocks noChangeArrowheads="1"/>
        </xdr:cNvSpPr>
      </xdr:nvSpPr>
      <xdr:spPr bwMode="auto">
        <a:xfrm>
          <a:off x="3924300" y="1384300"/>
          <a:ext cx="3937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-1,56</a:t>
          </a:r>
        </a:p>
      </xdr:txBody>
    </xdr:sp>
    <xdr:clientData/>
  </xdr:oneCellAnchor>
  <xdr:twoCellAnchor>
    <xdr:from>
      <xdr:col>4</xdr:col>
      <xdr:colOff>165100</xdr:colOff>
      <xdr:row>17</xdr:row>
      <xdr:rowOff>139700</xdr:rowOff>
    </xdr:from>
    <xdr:to>
      <xdr:col>4</xdr:col>
      <xdr:colOff>698500</xdr:colOff>
      <xdr:row>19</xdr:row>
      <xdr:rowOff>76200</xdr:rowOff>
    </xdr:to>
    <xdr:sp macro="" textlink="">
      <xdr:nvSpPr>
        <xdr:cNvPr id="2077" name="Oval 29"/>
        <xdr:cNvSpPr>
          <a:spLocks noChangeArrowheads="1"/>
        </xdr:cNvSpPr>
      </xdr:nvSpPr>
      <xdr:spPr bwMode="auto">
        <a:xfrm>
          <a:off x="2222500" y="2946400"/>
          <a:ext cx="533400" cy="241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+0,8</a:t>
          </a:r>
        </a:p>
      </xdr:txBody>
    </xdr:sp>
    <xdr:clientData/>
  </xdr:twoCellAnchor>
  <xdr:twoCellAnchor>
    <xdr:from>
      <xdr:col>2</xdr:col>
      <xdr:colOff>25400</xdr:colOff>
      <xdr:row>29</xdr:row>
      <xdr:rowOff>38100</xdr:rowOff>
    </xdr:from>
    <xdr:to>
      <xdr:col>6</xdr:col>
      <xdr:colOff>152400</xdr:colOff>
      <xdr:row>29</xdr:row>
      <xdr:rowOff>38100</xdr:rowOff>
    </xdr:to>
    <xdr:sp macro="" textlink="">
      <xdr:nvSpPr>
        <xdr:cNvPr id="2078" name="Line 30"/>
        <xdr:cNvSpPr>
          <a:spLocks noChangeShapeType="1"/>
        </xdr:cNvSpPr>
      </xdr:nvSpPr>
      <xdr:spPr bwMode="auto">
        <a:xfrm>
          <a:off x="1054100" y="4673600"/>
          <a:ext cx="28067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oneCellAnchor>
    <xdr:from>
      <xdr:col>2</xdr:col>
      <xdr:colOff>381000</xdr:colOff>
      <xdr:row>29</xdr:row>
      <xdr:rowOff>114300</xdr:rowOff>
    </xdr:from>
    <xdr:ext cx="444500" cy="203200"/>
    <xdr:sp macro="" textlink="">
      <xdr:nvSpPr>
        <xdr:cNvPr id="2079" name="Text Box 31"/>
        <xdr:cNvSpPr txBox="1">
          <a:spLocks noChangeArrowheads="1"/>
        </xdr:cNvSpPr>
      </xdr:nvSpPr>
      <xdr:spPr bwMode="auto">
        <a:xfrm>
          <a:off x="1409700" y="4749800"/>
          <a:ext cx="444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PLAN</a:t>
          </a:r>
        </a:p>
      </xdr:txBody>
    </xdr:sp>
    <xdr:clientData/>
  </xdr:oneCellAnchor>
  <xdr:oneCellAnchor>
    <xdr:from>
      <xdr:col>5</xdr:col>
      <xdr:colOff>330200</xdr:colOff>
      <xdr:row>29</xdr:row>
      <xdr:rowOff>114300</xdr:rowOff>
    </xdr:from>
    <xdr:ext cx="368300" cy="203200"/>
    <xdr:sp macro="" textlink="">
      <xdr:nvSpPr>
        <xdr:cNvPr id="2080" name="Text Box 32"/>
        <xdr:cNvSpPr txBox="1">
          <a:spLocks noChangeArrowheads="1"/>
        </xdr:cNvSpPr>
      </xdr:nvSpPr>
      <xdr:spPr bwMode="auto">
        <a:xfrm>
          <a:off x="3213100" y="4749800"/>
          <a:ext cx="368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ACT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10</xdr:row>
      <xdr:rowOff>0</xdr:rowOff>
    </xdr:from>
    <xdr:to>
      <xdr:col>16</xdr:col>
      <xdr:colOff>0</xdr:colOff>
      <xdr:row>38</xdr:row>
      <xdr:rowOff>0</xdr:rowOff>
    </xdr:to>
    <xdr:graphicFrame macro="">
      <xdr:nvGraphicFramePr>
        <xdr:cNvPr id="6145" name="Ueberleitung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381000</xdr:colOff>
      <xdr:row>14</xdr:row>
      <xdr:rowOff>127000</xdr:rowOff>
    </xdr:from>
    <xdr:to>
      <xdr:col>8</xdr:col>
      <xdr:colOff>685800</xdr:colOff>
      <xdr:row>26</xdr:row>
      <xdr:rowOff>38100</xdr:rowOff>
    </xdr:to>
    <xdr:grpSp>
      <xdr:nvGrpSpPr>
        <xdr:cNvPr id="6155" name="Group 11"/>
        <xdr:cNvGrpSpPr>
          <a:grpSpLocks/>
        </xdr:cNvGrpSpPr>
      </xdr:nvGrpSpPr>
      <xdr:grpSpPr bwMode="auto">
        <a:xfrm>
          <a:off x="927100" y="2476500"/>
          <a:ext cx="4724400" cy="1778000"/>
          <a:chOff x="85" y="274"/>
          <a:chExt cx="436" cy="198"/>
        </a:xfrm>
      </xdr:grpSpPr>
      <xdr:sp macro="" textlink="">
        <xdr:nvSpPr>
          <xdr:cNvPr id="6146" name="Oval 2"/>
          <xdr:cNvSpPr>
            <a:spLocks noChangeArrowheads="1"/>
          </xdr:cNvSpPr>
        </xdr:nvSpPr>
        <xdr:spPr bwMode="auto">
          <a:xfrm>
            <a:off x="286" y="274"/>
            <a:ext cx="66" cy="2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+97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+ 0.097</a:t>
            </a:r>
          </a:p>
        </xdr:txBody>
      </xdr:sp>
      <xdr:sp macro="" textlink="">
        <xdr:nvSpPr>
          <xdr:cNvPr id="6147" name="Line 3"/>
          <xdr:cNvSpPr>
            <a:spLocks noChangeShapeType="1"/>
          </xdr:cNvSpPr>
        </xdr:nvSpPr>
        <xdr:spPr bwMode="auto">
          <a:xfrm flipH="1">
            <a:off x="90" y="288"/>
            <a:ext cx="19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de-DE"/>
          </a:p>
        </xdr:txBody>
      </xdr:sp>
      <xdr:sp macro="" textlink="">
        <xdr:nvSpPr>
          <xdr:cNvPr id="6148" name="Line 4"/>
          <xdr:cNvSpPr>
            <a:spLocks noChangeShapeType="1"/>
          </xdr:cNvSpPr>
        </xdr:nvSpPr>
        <xdr:spPr bwMode="auto">
          <a:xfrm>
            <a:off x="89" y="288"/>
            <a:ext cx="1" cy="18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de-DE"/>
          </a:p>
        </xdr:txBody>
      </xdr:sp>
      <xdr:sp macro="" textlink="">
        <xdr:nvSpPr>
          <xdr:cNvPr id="6149" name="Line 5"/>
          <xdr:cNvSpPr>
            <a:spLocks noChangeShapeType="1"/>
          </xdr:cNvSpPr>
        </xdr:nvSpPr>
        <xdr:spPr bwMode="auto">
          <a:xfrm>
            <a:off x="353" y="288"/>
            <a:ext cx="16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de-DE"/>
          </a:p>
        </xdr:txBody>
      </xdr:sp>
      <xdr:sp macro="" textlink="">
        <xdr:nvSpPr>
          <xdr:cNvPr id="6150" name="Line 6"/>
          <xdr:cNvSpPr>
            <a:spLocks noChangeShapeType="1"/>
          </xdr:cNvSpPr>
        </xdr:nvSpPr>
        <xdr:spPr bwMode="auto">
          <a:xfrm>
            <a:off x="517" y="288"/>
            <a:ext cx="0" cy="18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de-DE"/>
          </a:p>
        </xdr:txBody>
      </xdr:sp>
      <xdr:sp macro="" textlink="">
        <xdr:nvSpPr>
          <xdr:cNvPr id="6151" name="AutoShape 7"/>
          <xdr:cNvSpPr>
            <a:spLocks noChangeArrowheads="1"/>
          </xdr:cNvSpPr>
        </xdr:nvSpPr>
        <xdr:spPr bwMode="auto">
          <a:xfrm>
            <a:off x="85" y="288"/>
            <a:ext cx="8" cy="8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rtlCol="0"/>
          <a:lstStyle/>
          <a:p>
            <a:pPr algn="ctr"/>
            <a:endParaRPr lang="de-DE"/>
          </a:p>
        </xdr:txBody>
      </xdr:sp>
      <xdr:sp macro="" textlink="">
        <xdr:nvSpPr>
          <xdr:cNvPr id="6152" name="AutoShape 8"/>
          <xdr:cNvSpPr>
            <a:spLocks noChangeArrowheads="1"/>
          </xdr:cNvSpPr>
        </xdr:nvSpPr>
        <xdr:spPr bwMode="auto">
          <a:xfrm>
            <a:off x="513" y="288"/>
            <a:ext cx="8" cy="8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rtlCol="0"/>
          <a:lstStyle/>
          <a:p>
            <a:pPr algn="ctr"/>
            <a:endParaRPr lang="de-DE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12700</xdr:rowOff>
        </xdr:from>
        <xdr:to>
          <xdr:col>8</xdr:col>
          <xdr:colOff>0</xdr:colOff>
          <xdr:row>22</xdr:row>
          <xdr:rowOff>139700</xdr:rowOff>
        </xdr:to>
        <xdr:pic>
          <xdr:nvPicPr>
            <xdr:cNvPr id="9217" name="Picture 1"/>
            <xdr:cNvPicPr>
              <a:picLocks noChangeAspect="1" noChangeArrowheads="1"/>
              <a:extLst>
                <a:ext uri="{84589F7E-364E-4C9E-8A38-B11213B215E9}">
                  <a14:cameraTool cellRange="'2+12'!$C$16:$J$34" spid="_x0000_s92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25500" y="469900"/>
              <a:ext cx="5778500" cy="30226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7"/>
  <sheetViews>
    <sheetView tabSelected="1" workbookViewId="0">
      <selection activeCell="B8" sqref="B8"/>
    </sheetView>
  </sheetViews>
  <sheetFormatPr baseColWidth="10" defaultRowHeight="12" x14ac:dyDescent="0"/>
  <sheetData>
    <row r="3" spans="2:2" ht="23">
      <c r="B3" s="125" t="s">
        <v>78</v>
      </c>
    </row>
    <row r="5" spans="2:2" ht="15">
      <c r="B5" s="112" t="s">
        <v>79</v>
      </c>
    </row>
    <row r="6" spans="2:2">
      <c r="B6" t="s">
        <v>80</v>
      </c>
    </row>
    <row r="7" spans="2:2">
      <c r="B7" t="s">
        <v>81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pageSetUpPr fitToPage="1"/>
  </sheetPr>
  <dimension ref="A1:O60"/>
  <sheetViews>
    <sheetView showGridLines="0" topLeftCell="A2" workbookViewId="0">
      <selection activeCell="L6" sqref="L6"/>
    </sheetView>
  </sheetViews>
  <sheetFormatPr baseColWidth="10" defaultRowHeight="12" x14ac:dyDescent="0"/>
  <cols>
    <col min="1" max="1" width="13.6640625" customWidth="1"/>
    <col min="2" max="3" width="9.5" customWidth="1"/>
    <col min="4" max="4" width="1.6640625" customWidth="1"/>
    <col min="5" max="6" width="9.5" customWidth="1"/>
    <col min="7" max="7" width="1.6640625" customWidth="1"/>
    <col min="8" max="9" width="9.5" customWidth="1"/>
    <col min="10" max="10" width="1.6640625" customWidth="1"/>
    <col min="11" max="14" width="9.5" customWidth="1"/>
  </cols>
  <sheetData>
    <row r="1" spans="1:15" ht="23">
      <c r="A1" s="9" t="s">
        <v>6</v>
      </c>
    </row>
    <row r="2" spans="1:15">
      <c r="D2" s="6"/>
      <c r="G2" s="6"/>
      <c r="J2" s="6"/>
    </row>
    <row r="3" spans="1:15">
      <c r="D3" s="6"/>
      <c r="G3" s="6"/>
      <c r="J3" s="6"/>
    </row>
    <row r="4" spans="1:15">
      <c r="A4" s="7"/>
      <c r="C4" s="26" t="s">
        <v>7</v>
      </c>
      <c r="D4" s="39"/>
      <c r="F4" s="26" t="s">
        <v>19</v>
      </c>
      <c r="G4" s="39"/>
      <c r="I4" s="26" t="s">
        <v>16</v>
      </c>
      <c r="J4" s="39"/>
      <c r="L4" s="26" t="s">
        <v>0</v>
      </c>
      <c r="O4" s="26" t="s">
        <v>17</v>
      </c>
    </row>
    <row r="5" spans="1:15">
      <c r="A5" s="5"/>
      <c r="B5" s="5"/>
      <c r="C5" s="38" t="s">
        <v>11</v>
      </c>
      <c r="D5" s="39"/>
      <c r="E5" s="38"/>
      <c r="F5" s="38" t="s">
        <v>10</v>
      </c>
      <c r="G5" s="39"/>
      <c r="H5" s="5"/>
      <c r="I5" s="38" t="s">
        <v>10</v>
      </c>
      <c r="J5" s="39"/>
      <c r="K5" s="5"/>
      <c r="L5" s="38" t="s">
        <v>40</v>
      </c>
      <c r="N5" s="38"/>
      <c r="O5" s="22" t="s">
        <v>10</v>
      </c>
    </row>
    <row r="6" spans="1:15">
      <c r="A6" s="3"/>
      <c r="B6" s="26" t="s">
        <v>8</v>
      </c>
      <c r="C6" s="26" t="s">
        <v>9</v>
      </c>
      <c r="D6" s="39"/>
      <c r="E6" s="26" t="s">
        <v>8</v>
      </c>
      <c r="F6" s="26" t="s">
        <v>9</v>
      </c>
      <c r="G6" s="39"/>
      <c r="H6" s="26" t="s">
        <v>8</v>
      </c>
      <c r="I6" s="29" t="s">
        <v>9</v>
      </c>
      <c r="J6" s="39"/>
      <c r="K6" s="26" t="s">
        <v>8</v>
      </c>
      <c r="L6" s="26" t="s">
        <v>9</v>
      </c>
      <c r="M6" s="6"/>
      <c r="N6" s="26" t="s">
        <v>8</v>
      </c>
      <c r="O6" s="26" t="s">
        <v>9</v>
      </c>
    </row>
    <row r="7" spans="1:15">
      <c r="A7" s="2" t="s">
        <v>1</v>
      </c>
      <c r="B7" s="30">
        <v>2</v>
      </c>
      <c r="C7" s="30">
        <v>3</v>
      </c>
      <c r="D7" s="41"/>
      <c r="E7" s="31">
        <v>8.5</v>
      </c>
      <c r="F7" s="31">
        <v>7.7</v>
      </c>
      <c r="G7" s="41"/>
      <c r="H7" s="32">
        <v>4.04</v>
      </c>
      <c r="I7" s="18">
        <f>F7-N7</f>
        <v>3.24</v>
      </c>
      <c r="J7" s="41"/>
      <c r="K7" s="31">
        <v>8.0790000000000006</v>
      </c>
      <c r="L7" s="31">
        <v>9.7390000000000008</v>
      </c>
      <c r="M7" s="6"/>
      <c r="N7" s="30">
        <v>4.46</v>
      </c>
      <c r="O7" s="30">
        <v>4.46</v>
      </c>
    </row>
    <row r="8" spans="1:15">
      <c r="A8" s="2" t="s">
        <v>2</v>
      </c>
      <c r="B8" s="30">
        <v>0.5</v>
      </c>
      <c r="C8" s="30">
        <v>0.8</v>
      </c>
      <c r="D8" s="41"/>
      <c r="E8" s="31">
        <v>8</v>
      </c>
      <c r="F8" s="31">
        <v>7.3</v>
      </c>
      <c r="G8" s="41"/>
      <c r="H8" s="30">
        <v>4.24</v>
      </c>
      <c r="I8" s="17">
        <f>F8-N8</f>
        <v>3.55</v>
      </c>
      <c r="J8" s="41"/>
      <c r="K8" s="31">
        <v>2.1219999999999999</v>
      </c>
      <c r="L8" s="31">
        <v>2.85</v>
      </c>
      <c r="M8" s="6"/>
      <c r="N8" s="30">
        <v>3.75</v>
      </c>
      <c r="O8" s="30">
        <v>3.75</v>
      </c>
    </row>
    <row r="9" spans="1:15">
      <c r="A9" s="2" t="s">
        <v>3</v>
      </c>
      <c r="B9" s="30">
        <v>1</v>
      </c>
      <c r="C9" s="30">
        <v>0.5</v>
      </c>
      <c r="D9" s="41"/>
      <c r="E9" s="31">
        <v>10</v>
      </c>
      <c r="F9" s="31">
        <v>10.199999999999999</v>
      </c>
      <c r="G9" s="41"/>
      <c r="H9" s="30">
        <v>4.93</v>
      </c>
      <c r="I9" s="17">
        <f>F9-N9</f>
        <v>5.129999999999999</v>
      </c>
      <c r="J9" s="41"/>
      <c r="K9" s="31">
        <v>4.9279999999999999</v>
      </c>
      <c r="L9" s="31">
        <v>2.5750000000000002</v>
      </c>
      <c r="M9" s="6"/>
      <c r="N9" s="30">
        <v>5.07</v>
      </c>
      <c r="O9" s="30">
        <v>5.07</v>
      </c>
    </row>
    <row r="10" spans="1:15">
      <c r="A10" s="2" t="s">
        <v>4</v>
      </c>
      <c r="B10" s="30">
        <v>0.5</v>
      </c>
      <c r="C10" s="30">
        <v>0.3</v>
      </c>
      <c r="D10" s="41"/>
      <c r="E10" s="31">
        <v>26.2</v>
      </c>
      <c r="F10" s="31">
        <v>26.2</v>
      </c>
      <c r="G10" s="41"/>
      <c r="H10" s="30">
        <v>8.16</v>
      </c>
      <c r="I10" s="17">
        <f>F10-N10</f>
        <v>8.16</v>
      </c>
      <c r="J10" s="41"/>
      <c r="K10" s="31">
        <v>4.08</v>
      </c>
      <c r="L10" s="31">
        <v>2.4489999999999998</v>
      </c>
      <c r="M10" s="6"/>
      <c r="N10" s="30">
        <v>18.04</v>
      </c>
      <c r="O10" s="30">
        <v>18.04</v>
      </c>
    </row>
    <row r="11" spans="1:15">
      <c r="A11" s="3" t="s">
        <v>5</v>
      </c>
      <c r="B11" s="33">
        <v>1</v>
      </c>
      <c r="C11" s="33">
        <v>1.01</v>
      </c>
      <c r="D11" s="41"/>
      <c r="E11" s="34">
        <v>4</v>
      </c>
      <c r="F11" s="34">
        <v>4</v>
      </c>
      <c r="G11" s="41"/>
      <c r="H11" s="33">
        <v>1.67</v>
      </c>
      <c r="I11" s="35">
        <f>F11-N11</f>
        <v>1.6800000000000002</v>
      </c>
      <c r="J11" s="41"/>
      <c r="K11" s="34">
        <v>1.6719999999999999</v>
      </c>
      <c r="L11" s="34">
        <v>1.71</v>
      </c>
      <c r="M11" s="6"/>
      <c r="N11" s="33">
        <v>2.3199999999999998</v>
      </c>
      <c r="O11" s="33">
        <v>2.3199999999999998</v>
      </c>
    </row>
    <row r="12" spans="1:15" ht="13" thickBot="1">
      <c r="B12" s="37">
        <f>SUM(B7:B11)</f>
        <v>5</v>
      </c>
      <c r="C12" s="37">
        <f>SUM(C7:C11)</f>
        <v>5.6099999999999994</v>
      </c>
      <c r="D12" s="8"/>
      <c r="E12" s="5"/>
      <c r="F12" s="5"/>
      <c r="G12" s="8"/>
      <c r="H12" s="36"/>
      <c r="I12" s="36"/>
      <c r="J12" s="8"/>
      <c r="K12" s="37">
        <f>SUM(K7:K11)</f>
        <v>20.881000000000004</v>
      </c>
      <c r="L12" s="37">
        <f>SUM(L7:L11)</f>
        <v>19.323</v>
      </c>
    </row>
    <row r="13" spans="1:15">
      <c r="N13" s="1"/>
    </row>
    <row r="14" spans="1:15">
      <c r="F14" s="4"/>
      <c r="N14" s="1"/>
    </row>
    <row r="15" spans="1:15">
      <c r="F15" s="4"/>
      <c r="N15" s="1"/>
    </row>
    <row r="16" spans="1:15">
      <c r="A16" t="s">
        <v>13</v>
      </c>
      <c r="C16" s="25">
        <v>3</v>
      </c>
      <c r="D16" s="25"/>
      <c r="F16" s="10" t="s">
        <v>20</v>
      </c>
      <c r="G16" s="42"/>
      <c r="J16" s="42"/>
      <c r="L16" s="4"/>
      <c r="M16" t="s">
        <v>24</v>
      </c>
      <c r="N16" s="1"/>
    </row>
    <row r="17" spans="1:14">
      <c r="M17" s="22" t="s">
        <v>25</v>
      </c>
      <c r="N17" s="22" t="s">
        <v>26</v>
      </c>
    </row>
    <row r="18" spans="1:14">
      <c r="A18" s="22" t="s">
        <v>14</v>
      </c>
      <c r="B18" s="22" t="s">
        <v>15</v>
      </c>
      <c r="F18" s="40"/>
      <c r="G18" s="7"/>
      <c r="H18" s="39" t="s">
        <v>0</v>
      </c>
      <c r="K18" s="22" t="s">
        <v>0</v>
      </c>
      <c r="L18" t="s">
        <v>27</v>
      </c>
      <c r="M18" s="48">
        <v>1.7</v>
      </c>
      <c r="N18">
        <f>F21/2</f>
        <v>4.0395000000000003</v>
      </c>
    </row>
    <row r="19" spans="1:14">
      <c r="A19" s="21">
        <f t="shared" ref="A19:B23" si="0">E7+$C$16</f>
        <v>11.5</v>
      </c>
      <c r="B19" s="21">
        <f t="shared" si="0"/>
        <v>10.7</v>
      </c>
      <c r="F19" s="38"/>
      <c r="G19" s="6"/>
      <c r="H19" s="38" t="s">
        <v>40</v>
      </c>
      <c r="K19" s="22" t="s">
        <v>12</v>
      </c>
      <c r="L19" t="s">
        <v>28</v>
      </c>
      <c r="M19">
        <f>M18</f>
        <v>1.7</v>
      </c>
      <c r="N19">
        <f>F21+F22/2</f>
        <v>9.14</v>
      </c>
    </row>
    <row r="20" spans="1:14">
      <c r="A20" s="21">
        <f t="shared" si="0"/>
        <v>11</v>
      </c>
      <c r="B20" s="21">
        <f t="shared" si="0"/>
        <v>10.3</v>
      </c>
      <c r="F20" s="26" t="s">
        <v>8</v>
      </c>
      <c r="G20" s="7"/>
      <c r="H20" s="26" t="s">
        <v>9</v>
      </c>
      <c r="K20" s="26" t="s">
        <v>21</v>
      </c>
      <c r="L20" t="s">
        <v>29</v>
      </c>
      <c r="M20">
        <f>M18</f>
        <v>1.7</v>
      </c>
      <c r="N20">
        <f>F21+F22+F23/2</f>
        <v>12.665000000000001</v>
      </c>
    </row>
    <row r="21" spans="1:14">
      <c r="A21" s="21">
        <f t="shared" si="0"/>
        <v>13</v>
      </c>
      <c r="B21" s="21">
        <f t="shared" si="0"/>
        <v>13.2</v>
      </c>
      <c r="D21" s="24" t="s">
        <v>1</v>
      </c>
      <c r="F21" s="43">
        <f>K7</f>
        <v>8.0790000000000006</v>
      </c>
      <c r="G21" s="6"/>
      <c r="H21" s="43">
        <f>L7</f>
        <v>9.7390000000000008</v>
      </c>
      <c r="K21" s="27">
        <f t="shared" ref="K21:K26" si="1">H21-F21</f>
        <v>1.6600000000000001</v>
      </c>
      <c r="L21" t="s">
        <v>22</v>
      </c>
      <c r="M21">
        <f>M18</f>
        <v>1.7</v>
      </c>
      <c r="N21">
        <f>F21+F22+F23+F24/2</f>
        <v>17.169</v>
      </c>
    </row>
    <row r="22" spans="1:14">
      <c r="A22" s="21">
        <f t="shared" si="0"/>
        <v>29.2</v>
      </c>
      <c r="B22" s="21">
        <f t="shared" si="0"/>
        <v>29.2</v>
      </c>
      <c r="D22" s="24" t="s">
        <v>2</v>
      </c>
      <c r="F22" s="43">
        <f>K8</f>
        <v>2.1219999999999999</v>
      </c>
      <c r="G22" s="6"/>
      <c r="H22" s="43">
        <f>L8</f>
        <v>2.85</v>
      </c>
      <c r="K22" s="27">
        <f t="shared" si="1"/>
        <v>0.7280000000000002</v>
      </c>
      <c r="L22" t="s">
        <v>30</v>
      </c>
      <c r="M22">
        <f>M18</f>
        <v>1.7</v>
      </c>
      <c r="N22">
        <f>F21+F22+F23+F24+F25/2</f>
        <v>20.045000000000002</v>
      </c>
    </row>
    <row r="23" spans="1:14">
      <c r="A23" s="21">
        <f t="shared" si="0"/>
        <v>7</v>
      </c>
      <c r="B23" s="21">
        <f t="shared" si="0"/>
        <v>7</v>
      </c>
      <c r="D23" s="24" t="s">
        <v>3</v>
      </c>
      <c r="F23" s="43">
        <f>K9</f>
        <v>4.9279999999999999</v>
      </c>
      <c r="G23" s="6"/>
      <c r="H23" s="43">
        <f>L9</f>
        <v>2.5750000000000002</v>
      </c>
      <c r="K23" s="27">
        <f t="shared" si="1"/>
        <v>-2.3529999999999998</v>
      </c>
    </row>
    <row r="24" spans="1:14">
      <c r="D24" s="24" t="s">
        <v>22</v>
      </c>
      <c r="F24" s="43">
        <f>K10</f>
        <v>4.08</v>
      </c>
      <c r="G24" s="6"/>
      <c r="H24" s="43">
        <f>L10</f>
        <v>2.4489999999999998</v>
      </c>
      <c r="K24" s="27">
        <f t="shared" si="1"/>
        <v>-1.6310000000000002</v>
      </c>
    </row>
    <row r="25" spans="1:14">
      <c r="D25" s="24" t="s">
        <v>5</v>
      </c>
      <c r="F25" s="44">
        <f>K11</f>
        <v>1.6719999999999999</v>
      </c>
      <c r="G25" s="7"/>
      <c r="H25" s="44">
        <f>L11</f>
        <v>1.71</v>
      </c>
      <c r="K25" s="28">
        <f t="shared" si="1"/>
        <v>3.8000000000000034E-2</v>
      </c>
    </row>
    <row r="26" spans="1:14" ht="13" thickBot="1">
      <c r="F26" s="47">
        <f>SUM(F21:F25)</f>
        <v>20.881000000000004</v>
      </c>
      <c r="G26" s="47"/>
      <c r="H26" s="47">
        <f>SUM(H21:H25)</f>
        <v>19.323</v>
      </c>
      <c r="K26" s="45">
        <f t="shared" si="1"/>
        <v>-1.5580000000000034</v>
      </c>
    </row>
    <row r="27" spans="1:14">
      <c r="D27" s="24" t="s">
        <v>23</v>
      </c>
      <c r="F27" s="46">
        <v>1.6</v>
      </c>
      <c r="G27" s="21"/>
      <c r="H27" s="21">
        <f>F27</f>
        <v>1.6</v>
      </c>
    </row>
    <row r="29" spans="1:14" ht="6" customHeight="1"/>
    <row r="31" spans="1:14" ht="6" customHeight="1"/>
    <row r="60" ht="6" customHeight="1"/>
  </sheetData>
  <phoneticPr fontId="0" type="noConversion"/>
  <printOptions horizontalCentered="1"/>
  <pageMargins left="0.78740157480314965" right="0.70866141732283472" top="1.3779527559055118" bottom="1.1811023622047245" header="0.51181102362204722" footer="0.51181102362204722"/>
  <pageSetup paperSize="9" scale="77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 enableFormatConditionsCalculation="0">
    <pageSetUpPr fitToPage="1"/>
  </sheetPr>
  <dimension ref="B1:O88"/>
  <sheetViews>
    <sheetView showGridLines="0" workbookViewId="0"/>
  </sheetViews>
  <sheetFormatPr baseColWidth="10" defaultRowHeight="12" x14ac:dyDescent="0"/>
  <cols>
    <col min="1" max="1" width="2.6640625" customWidth="1"/>
    <col min="4" max="4" width="2.6640625" customWidth="1"/>
    <col min="7" max="7" width="2.6640625" customWidth="1"/>
    <col min="10" max="10" width="2.6640625" customWidth="1"/>
    <col min="13" max="13" width="2.6640625" customWidth="1"/>
  </cols>
  <sheetData>
    <row r="1" spans="2:15" s="15" customFormat="1" ht="17">
      <c r="B1" s="120" t="s">
        <v>18</v>
      </c>
    </row>
    <row r="2" spans="2:15" s="15" customFormat="1" ht="6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ht="27" customHeight="1"/>
    <row r="4" spans="2:15" ht="12.75" customHeight="1"/>
    <row r="5" spans="2:15" ht="14.75" customHeight="1">
      <c r="B5" s="112" t="s">
        <v>75</v>
      </c>
      <c r="I5" s="112" t="s">
        <v>72</v>
      </c>
    </row>
    <row r="6" spans="2:15" ht="14.75" customHeight="1">
      <c r="B6" s="112" t="s">
        <v>73</v>
      </c>
      <c r="I6" s="112" t="s">
        <v>70</v>
      </c>
    </row>
    <row r="7" spans="2:15" ht="14.75" customHeight="1">
      <c r="B7" s="112" t="s">
        <v>69</v>
      </c>
      <c r="I7" s="112" t="s">
        <v>71</v>
      </c>
    </row>
    <row r="8" spans="2:15" ht="14.75" customHeight="1">
      <c r="B8" s="112" t="s">
        <v>74</v>
      </c>
      <c r="I8" s="112" t="s">
        <v>76</v>
      </c>
    </row>
    <row r="9" spans="2:15" ht="12.75" customHeight="1">
      <c r="B9" s="10"/>
    </row>
    <row r="10" spans="2:15" ht="12.75" customHeight="1"/>
    <row r="11" spans="2:15" ht="12.75" customHeight="1">
      <c r="B11" s="10" t="s">
        <v>0</v>
      </c>
      <c r="I11" s="10" t="s">
        <v>39</v>
      </c>
    </row>
    <row r="12" spans="2:15" ht="12.75" customHeight="1">
      <c r="B12" t="s">
        <v>40</v>
      </c>
      <c r="I12" t="s">
        <v>12</v>
      </c>
    </row>
    <row r="13" spans="2:15" ht="12.75" customHeight="1"/>
    <row r="14" spans="2:15" ht="12.75" customHeight="1"/>
    <row r="15" spans="2:15" ht="12.75" customHeight="1"/>
    <row r="16" spans="2:15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spans="2:15" ht="12.75" customHeight="1"/>
    <row r="34" spans="2:15" ht="12.75" customHeight="1"/>
    <row r="35" spans="2:15" ht="12.75" customHeight="1"/>
    <row r="36" spans="2:15" ht="12.75" customHeight="1"/>
    <row r="37" spans="2:15" ht="12.75" customHeight="1"/>
    <row r="38" spans="2:15" ht="12.75" customHeight="1"/>
    <row r="39" spans="2:15" ht="12.75" customHeight="1"/>
    <row r="40" spans="2:15" ht="12.75" customHeight="1"/>
    <row r="41" spans="2:15" ht="12.75" customHeight="1"/>
    <row r="42" spans="2:15" ht="12.75" customHeight="1"/>
    <row r="43" spans="2:15" ht="14.75" customHeight="1">
      <c r="B43" s="112" t="s">
        <v>77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</row>
    <row r="44" spans="2:15" ht="12.75" customHeight="1"/>
    <row r="45" spans="2:15" ht="12.75" customHeight="1"/>
    <row r="46" spans="2:15" s="20" customFormat="1" ht="15">
      <c r="B46" s="20" t="str">
        <f>Analysis!$A$7</f>
        <v>Bars, solid</v>
      </c>
      <c r="E46" s="20" t="str">
        <f>Analysis!$A$8</f>
        <v>Bars, filled</v>
      </c>
      <c r="H46" s="20" t="str">
        <f>Analysis!$A$9</f>
        <v>Small bars</v>
      </c>
      <c r="K46" s="20" t="str">
        <f>Analysis!$A$10</f>
        <v>Pralinés</v>
      </c>
      <c r="N46" s="20" t="str">
        <f>Analysis!$A$11</f>
        <v>Cacao drinks</v>
      </c>
    </row>
    <row r="47" spans="2:15" ht="6" customHeight="1">
      <c r="B47" s="12"/>
      <c r="C47" s="12"/>
      <c r="E47" s="11"/>
      <c r="F47" s="11"/>
      <c r="H47" s="13"/>
      <c r="I47" s="14"/>
      <c r="K47" s="118"/>
      <c r="L47" s="119"/>
      <c r="N47" s="116"/>
      <c r="O47" s="117"/>
    </row>
    <row r="48" spans="2:15" ht="6" customHeight="1"/>
    <row r="49" spans="2:14" ht="12.75" customHeight="1"/>
    <row r="50" spans="2:14" ht="12.75" customHeight="1">
      <c r="B50" s="10" t="str">
        <f>Analysis!$L$4</f>
        <v>CB I</v>
      </c>
      <c r="E50" s="10"/>
      <c r="H50" s="10"/>
      <c r="K50" s="10"/>
      <c r="N50" s="10"/>
    </row>
    <row r="51" spans="2:14" ht="12.75" customHeight="1">
      <c r="B51" s="19" t="str">
        <f>Analysis!$L$5</f>
        <v>Mill. EUR</v>
      </c>
    </row>
    <row r="52" spans="2:14" ht="12.75" customHeight="1"/>
    <row r="53" spans="2:14" ht="12.75" customHeight="1"/>
    <row r="54" spans="2:14" ht="12.75" customHeight="1"/>
    <row r="55" spans="2:14" ht="12.75" customHeight="1"/>
    <row r="56" spans="2:14" ht="12.75" customHeight="1"/>
    <row r="57" spans="2:14" ht="12.75" customHeight="1"/>
    <row r="58" spans="2:14" ht="12.75" customHeight="1"/>
    <row r="59" spans="2:14" ht="12.75" customHeight="1"/>
    <row r="60" spans="2:14" ht="12.75" customHeight="1"/>
    <row r="61" spans="2:14">
      <c r="B61" s="10" t="str">
        <f>Analysis!F4</f>
        <v>Selling Price</v>
      </c>
      <c r="E61" s="10"/>
      <c r="H61" s="10"/>
      <c r="K61" s="10"/>
      <c r="N61" s="10"/>
    </row>
    <row r="62" spans="2:14">
      <c r="B62" s="10" t="str">
        <f>Analysis!L4</f>
        <v>CB I</v>
      </c>
      <c r="E62" s="23"/>
      <c r="H62" s="23"/>
      <c r="K62" s="23"/>
      <c r="N62" s="23"/>
    </row>
    <row r="63" spans="2:14">
      <c r="B63" s="19" t="str">
        <f>Analysis!I5</f>
        <v>EUR/kg</v>
      </c>
    </row>
    <row r="72" spans="2:3">
      <c r="B72" s="10" t="str">
        <f>Analysis!$C$4</f>
        <v>Volume</v>
      </c>
      <c r="C72" s="10"/>
    </row>
    <row r="73" spans="2:3">
      <c r="B73" s="19" t="str">
        <f>Analysis!$C$5</f>
        <v>Tsd. tons</v>
      </c>
    </row>
    <row r="87" spans="2:15" ht="6" customHeight="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</row>
    <row r="88" spans="2:15">
      <c r="F88" s="121" t="s">
        <v>68</v>
      </c>
      <c r="G88" s="122"/>
      <c r="H88" s="122"/>
      <c r="I88" s="122"/>
      <c r="J88" s="122"/>
      <c r="K88" s="122"/>
    </row>
  </sheetData>
  <mergeCells count="1">
    <mergeCell ref="F88:K88"/>
  </mergeCells>
  <phoneticPr fontId="7" type="noConversion"/>
  <printOptions horizontalCentered="1"/>
  <pageMargins left="0.78740157480314965" right="0.19685039370078741" top="0.39370078740157483" bottom="0.37" header="0" footer="0"/>
  <pageSetup paperSize="9" scale="72"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pageSetUpPr fitToPage="1"/>
  </sheetPr>
  <dimension ref="A1:P4"/>
  <sheetViews>
    <sheetView showGridLines="0" topLeftCell="A4" workbookViewId="0">
      <selection activeCell="B33" sqref="B33"/>
    </sheetView>
  </sheetViews>
  <sheetFormatPr baseColWidth="10" defaultRowHeight="12" x14ac:dyDescent="0"/>
  <cols>
    <col min="1" max="1" width="2.6640625" customWidth="1"/>
    <col min="4" max="4" width="2.6640625" customWidth="1"/>
    <col min="7" max="7" width="2.6640625" customWidth="1"/>
    <col min="10" max="10" width="2.6640625" customWidth="1"/>
    <col min="13" max="13" width="2.6640625" customWidth="1"/>
  </cols>
  <sheetData>
    <row r="1" spans="1:16" s="15" customFormat="1" ht="1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s="15" customFormat="1" ht="6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27" customHeight="1"/>
    <row r="4" spans="1:16" s="20" customFormat="1" ht="15">
      <c r="A4"/>
      <c r="B4" s="10"/>
      <c r="C4"/>
      <c r="D4"/>
      <c r="E4"/>
      <c r="F4"/>
      <c r="G4"/>
      <c r="H4"/>
      <c r="I4"/>
      <c r="J4"/>
      <c r="K4"/>
      <c r="L4"/>
      <c r="M4"/>
      <c r="N4"/>
      <c r="O4"/>
      <c r="P4"/>
    </row>
  </sheetData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ZweiPlus12" enableFormatConditionsCalculation="0"/>
  <dimension ref="A2:S45"/>
  <sheetViews>
    <sheetView showGridLines="0" workbookViewId="0">
      <selection activeCell="O9" sqref="O9"/>
    </sheetView>
  </sheetViews>
  <sheetFormatPr baseColWidth="10" defaultColWidth="11.5" defaultRowHeight="12" x14ac:dyDescent="0"/>
  <cols>
    <col min="1" max="1" width="3.1640625" style="49" customWidth="1"/>
    <col min="2" max="2" width="4" style="81" customWidth="1"/>
    <col min="3" max="3" width="9.6640625" style="49" customWidth="1"/>
    <col min="4" max="10" width="9.6640625" style="82" customWidth="1"/>
    <col min="11" max="16" width="7.6640625" style="82" customWidth="1"/>
    <col min="17" max="17" width="4.6640625" style="49" customWidth="1"/>
    <col min="18" max="16384" width="11.5" style="49"/>
  </cols>
  <sheetData>
    <row r="2" spans="1:19">
      <c r="B2" s="50"/>
      <c r="C2" s="51" t="s">
        <v>82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1"/>
    </row>
    <row r="3" spans="1:19" s="53" customFormat="1">
      <c r="B3" s="54"/>
      <c r="C3" s="55" t="s">
        <v>83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1"/>
      <c r="P3" s="56"/>
      <c r="Q3" s="55"/>
    </row>
    <row r="4" spans="1:19" ht="6" customHeight="1">
      <c r="B4" s="50"/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1"/>
    </row>
    <row r="5" spans="1:19" s="57" customFormat="1">
      <c r="B5" s="54"/>
      <c r="C5" s="113" t="s">
        <v>31</v>
      </c>
      <c r="D5" s="114" t="s">
        <v>7</v>
      </c>
      <c r="E5" s="114" t="s">
        <v>32</v>
      </c>
      <c r="F5" s="114" t="s">
        <v>33</v>
      </c>
      <c r="G5" s="114" t="s">
        <v>34</v>
      </c>
      <c r="H5" s="114" t="s">
        <v>35</v>
      </c>
      <c r="I5" s="114" t="s">
        <v>36</v>
      </c>
      <c r="J5" s="114"/>
      <c r="K5" s="114"/>
      <c r="L5" s="114"/>
      <c r="M5" s="114"/>
      <c r="N5" s="114"/>
      <c r="O5" s="114"/>
      <c r="P5" s="115" t="s">
        <v>37</v>
      </c>
      <c r="Q5" s="58"/>
    </row>
    <row r="6" spans="1:19" s="57" customFormat="1" ht="15.75" customHeight="1">
      <c r="B6" s="59"/>
      <c r="C6" s="60">
        <v>1441</v>
      </c>
      <c r="D6" s="60">
        <v>2547</v>
      </c>
      <c r="E6" s="60">
        <v>-2791</v>
      </c>
      <c r="F6" s="60">
        <v>-1314</v>
      </c>
      <c r="G6" s="60">
        <v>1343</v>
      </c>
      <c r="H6" s="60">
        <v>341</v>
      </c>
      <c r="I6" s="60">
        <v>-29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61">
        <f>Logic!N8</f>
        <v>1538</v>
      </c>
      <c r="Q6" s="62"/>
    </row>
    <row r="7" spans="1:19" s="57" customFormat="1" ht="15.75" customHeight="1">
      <c r="B7" s="59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9" s="57" customFormat="1" ht="15.75" customHeight="1">
      <c r="A8" s="63"/>
      <c r="B8" s="64"/>
      <c r="C8" s="65"/>
      <c r="D8" s="65"/>
      <c r="E8" s="56"/>
      <c r="F8" s="66" t="s">
        <v>84</v>
      </c>
      <c r="G8" s="67">
        <v>12</v>
      </c>
      <c r="H8" s="65"/>
      <c r="I8" s="68"/>
      <c r="J8" s="66" t="s">
        <v>85</v>
      </c>
      <c r="K8" s="67">
        <v>6</v>
      </c>
      <c r="L8" s="65" t="s">
        <v>38</v>
      </c>
      <c r="M8" s="68"/>
      <c r="N8" s="68"/>
      <c r="O8" s="66" t="s">
        <v>86</v>
      </c>
      <c r="P8" s="67">
        <v>-55</v>
      </c>
      <c r="Q8" s="69"/>
    </row>
    <row r="9" spans="1:19" s="57" customFormat="1" ht="8.25" customHeight="1">
      <c r="A9" s="63"/>
      <c r="B9" s="50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56"/>
      <c r="R9" s="63"/>
      <c r="S9" s="63"/>
    </row>
    <row r="10" spans="1:19" ht="12" customHeight="1">
      <c r="B10" s="70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9" ht="27.75" customHeight="1">
      <c r="B11" s="50"/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51"/>
    </row>
    <row r="12" spans="1:19">
      <c r="B12" s="50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51"/>
    </row>
    <row r="13" spans="1:19" ht="15">
      <c r="B13" s="50"/>
      <c r="C13" s="74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51"/>
    </row>
    <row r="14" spans="1:19">
      <c r="B14" s="50"/>
      <c r="C14" s="110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51"/>
    </row>
    <row r="15" spans="1:19">
      <c r="B15" s="50"/>
      <c r="C15" s="75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51"/>
    </row>
    <row r="16" spans="1:19" ht="15">
      <c r="B16" s="50"/>
      <c r="C16" s="74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51"/>
    </row>
    <row r="17" spans="2:17">
      <c r="B17" s="50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51"/>
    </row>
    <row r="18" spans="2:17">
      <c r="B18" s="50"/>
      <c r="C18" s="75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51"/>
    </row>
    <row r="19" spans="2:17">
      <c r="B19" s="50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51"/>
    </row>
    <row r="20" spans="2:17">
      <c r="B20" s="50"/>
      <c r="C20" s="75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51"/>
    </row>
    <row r="21" spans="2:17">
      <c r="B21" s="50"/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51"/>
    </row>
    <row r="22" spans="2:17">
      <c r="B22" s="50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51"/>
    </row>
    <row r="23" spans="2:17">
      <c r="B23" s="50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51"/>
    </row>
    <row r="24" spans="2:17">
      <c r="B24" s="50"/>
      <c r="C24" s="75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51"/>
    </row>
    <row r="25" spans="2:17">
      <c r="B25" s="50"/>
      <c r="C25" s="75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51"/>
    </row>
    <row r="26" spans="2:17">
      <c r="B26" s="50"/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51"/>
    </row>
    <row r="27" spans="2:17">
      <c r="B27" s="50"/>
      <c r="C27" s="75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51"/>
    </row>
    <row r="28" spans="2:17">
      <c r="B28" s="50"/>
      <c r="C28" s="75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51"/>
    </row>
    <row r="29" spans="2:17">
      <c r="B29" s="50"/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51"/>
    </row>
    <row r="30" spans="2:17">
      <c r="B30" s="50"/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51"/>
    </row>
    <row r="31" spans="2:17">
      <c r="B31" s="50"/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51"/>
    </row>
    <row r="32" spans="2:17">
      <c r="B32" s="50"/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51"/>
    </row>
    <row r="33" spans="2:17">
      <c r="B33" s="50"/>
      <c r="C33" s="75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51"/>
    </row>
    <row r="34" spans="2:17">
      <c r="B34" s="50"/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51"/>
    </row>
    <row r="35" spans="2:17">
      <c r="B35" s="50"/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51"/>
    </row>
    <row r="36" spans="2:17">
      <c r="B36" s="50"/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51"/>
    </row>
    <row r="37" spans="2:17">
      <c r="B37" s="50"/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51"/>
    </row>
    <row r="38" spans="2:17">
      <c r="B38" s="50"/>
      <c r="C38" s="75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51"/>
    </row>
    <row r="39" spans="2:17">
      <c r="B39" s="50"/>
      <c r="C39" s="75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51"/>
    </row>
    <row r="40" spans="2:17">
      <c r="B40" s="70"/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77"/>
    </row>
    <row r="41" spans="2:17" s="53" customFormat="1">
      <c r="B41" s="54"/>
      <c r="C41" s="78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8"/>
      <c r="Q41" s="55"/>
    </row>
    <row r="43" spans="2:17" s="80" customFormat="1" ht="25.5" customHeight="1">
      <c r="B43" s="79"/>
      <c r="C43" s="123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</row>
    <row r="44" spans="2:17" s="80" customFormat="1" ht="25.5" customHeight="1">
      <c r="B44" s="79"/>
      <c r="C44" s="123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</row>
    <row r="45" spans="2:17" s="80" customFormat="1" ht="25.5" customHeight="1">
      <c r="B45" s="79"/>
      <c r="C45" s="123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</row>
  </sheetData>
  <mergeCells count="3">
    <mergeCell ref="C43:Q43"/>
    <mergeCell ref="C44:Q44"/>
    <mergeCell ref="C45:Q45"/>
  </mergeCells>
  <phoneticPr fontId="0" type="noConversion"/>
  <dataValidations disablePrompts="1" count="1">
    <dataValidation type="whole" allowBlank="1" showInputMessage="1" showErrorMessage="1" errorTitle="Spaltenanzahl" error="Die Spaltenanzahl muss zwischen 1 und 12 sein!" sqref="K8">
      <formula1>1</formula1>
      <formula2>12</formula2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P37"/>
  <sheetViews>
    <sheetView topLeftCell="B16" workbookViewId="0">
      <selection activeCell="C38" sqref="C38"/>
    </sheetView>
  </sheetViews>
  <sheetFormatPr baseColWidth="10" defaultColWidth="8.83203125" defaultRowHeight="12" x14ac:dyDescent="0"/>
  <cols>
    <col min="1" max="1" width="30.5" style="24" customWidth="1"/>
    <col min="2" max="2" width="5.1640625" customWidth="1"/>
  </cols>
  <sheetData>
    <row r="1" spans="1:16">
      <c r="C1" s="83" t="s">
        <v>41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6">
      <c r="C2" s="83" t="s">
        <v>42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6">
      <c r="C3" s="83" t="s">
        <v>43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6">
      <c r="C4" s="83" t="s">
        <v>44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6">
      <c r="C5" s="83" t="s">
        <v>45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6" s="49" customFormat="1">
      <c r="A6" s="81"/>
      <c r="B6" s="82" t="str">
        <f>'2+12'!C5</f>
        <v>PLAN</v>
      </c>
      <c r="C6" s="82" t="str">
        <f>IF(Spalten&gt;=C21,'2+12'!D5,"")</f>
        <v>Volume</v>
      </c>
      <c r="D6" s="82" t="str">
        <f>IF(Spalten&gt;=D21,'2+12'!E5,"")</f>
        <v>Price</v>
      </c>
      <c r="E6" s="82" t="str">
        <f>IF(Spalten&gt;=E21,'2+12'!F5,"")</f>
        <v>Mix</v>
      </c>
      <c r="F6" s="82" t="str">
        <f>IF(Spalten&gt;=F21,'2+12'!G5,"")</f>
        <v>Mat.Price</v>
      </c>
      <c r="G6" s="82" t="str">
        <f>IF(Spalten&gt;=G21,'2+12'!H5,"")</f>
        <v>Mat.Vol.</v>
      </c>
      <c r="H6" s="82" t="str">
        <f>IF(Spalten&gt;=H21,'2+12'!I5,"")</f>
        <v>Others</v>
      </c>
      <c r="I6" s="82">
        <f>IF(Spalten&gt;=I21,'2+12'!J5,"")</f>
        <v>0</v>
      </c>
      <c r="J6" s="82" t="str">
        <f>IF(Spalten&gt;=J21,'2+12'!K5,"")</f>
        <v/>
      </c>
      <c r="K6" s="82" t="str">
        <f>IF(Spalten&gt;=K21,'2+12'!L5,"")</f>
        <v/>
      </c>
      <c r="L6" s="82" t="str">
        <f>IF(Spalten&gt;=L21,'2+12'!M5,"")</f>
        <v/>
      </c>
      <c r="M6" s="82" t="str">
        <f>IF(Spalten&gt;=M21,'2+12'!N5,"")</f>
        <v/>
      </c>
      <c r="N6" s="82" t="str">
        <f>IF(Spalten&gt;=N21,'2+12'!O5,"")</f>
        <v/>
      </c>
      <c r="O6" s="82" t="str">
        <f>IF(Spalten&gt;=O21,'2+12'!P5,"")</f>
        <v/>
      </c>
      <c r="P6" s="82"/>
    </row>
    <row r="7" spans="1:16" s="49" customFormat="1" ht="13">
      <c r="A7" s="84" t="s">
        <v>46</v>
      </c>
      <c r="B7" s="85"/>
      <c r="C7" s="86">
        <f>B22</f>
        <v>1441</v>
      </c>
      <c r="D7" s="86">
        <f>C7+'2+12'!D6</f>
        <v>3988</v>
      </c>
      <c r="E7" s="86">
        <f>D7+'2+12'!E6</f>
        <v>1197</v>
      </c>
      <c r="F7" s="86">
        <f>E7+'2+12'!F6</f>
        <v>-117</v>
      </c>
      <c r="G7" s="86">
        <f>F7+'2+12'!G6</f>
        <v>1226</v>
      </c>
      <c r="H7" s="86">
        <f>G7+'2+12'!H6</f>
        <v>1567</v>
      </c>
      <c r="I7" s="86">
        <f>H7+'2+12'!I6</f>
        <v>1538</v>
      </c>
      <c r="J7" s="86">
        <f>I7+'2+12'!J6</f>
        <v>1538</v>
      </c>
      <c r="K7" s="86">
        <f>J7+'2+12'!K6</f>
        <v>1538</v>
      </c>
      <c r="L7" s="86">
        <f>K7+'2+12'!L6</f>
        <v>1538</v>
      </c>
      <c r="M7" s="86">
        <f>L7+'2+12'!M6</f>
        <v>1538</v>
      </c>
      <c r="N7" s="86">
        <f>M7+'2+12'!N6</f>
        <v>1538</v>
      </c>
      <c r="O7" s="86"/>
    </row>
    <row r="8" spans="1:16" s="49" customFormat="1" ht="13">
      <c r="A8" s="87" t="s">
        <v>47</v>
      </c>
      <c r="B8" s="88"/>
      <c r="C8" s="89">
        <f>C7+'2+12'!D6</f>
        <v>3988</v>
      </c>
      <c r="D8" s="89">
        <f>D7+'2+12'!E6</f>
        <v>1197</v>
      </c>
      <c r="E8" s="89">
        <f>E7+'2+12'!F6</f>
        <v>-117</v>
      </c>
      <c r="F8" s="89">
        <f>F7+'2+12'!G6</f>
        <v>1226</v>
      </c>
      <c r="G8" s="89">
        <f>G7+'2+12'!H6</f>
        <v>1567</v>
      </c>
      <c r="H8" s="89">
        <f>H7+'2+12'!I6</f>
        <v>1538</v>
      </c>
      <c r="I8" s="89">
        <f>I7+'2+12'!J6</f>
        <v>1538</v>
      </c>
      <c r="J8" s="89">
        <f>J7+'2+12'!K6</f>
        <v>1538</v>
      </c>
      <c r="K8" s="89">
        <f>K7+'2+12'!L6</f>
        <v>1538</v>
      </c>
      <c r="L8" s="89">
        <f>L7+'2+12'!M6</f>
        <v>1538</v>
      </c>
      <c r="M8" s="89">
        <f>M7+'2+12'!N6</f>
        <v>1538</v>
      </c>
      <c r="N8" s="89">
        <f>N7+'2+12'!O6</f>
        <v>1538</v>
      </c>
      <c r="O8" s="89"/>
    </row>
    <row r="9" spans="1:16" s="49" customFormat="1" ht="13">
      <c r="A9" s="90" t="s">
        <v>48</v>
      </c>
      <c r="B9" s="88"/>
      <c r="C9" s="89" t="b">
        <f t="shared" ref="C9:N9" si="0">(C7&gt;C8)</f>
        <v>0</v>
      </c>
      <c r="D9" s="89" t="b">
        <f t="shared" si="0"/>
        <v>1</v>
      </c>
      <c r="E9" s="89" t="b">
        <f t="shared" si="0"/>
        <v>1</v>
      </c>
      <c r="F9" s="89" t="b">
        <f t="shared" si="0"/>
        <v>0</v>
      </c>
      <c r="G9" s="89" t="b">
        <f t="shared" si="0"/>
        <v>0</v>
      </c>
      <c r="H9" s="89" t="b">
        <f t="shared" si="0"/>
        <v>1</v>
      </c>
      <c r="I9" s="89" t="b">
        <f t="shared" si="0"/>
        <v>0</v>
      </c>
      <c r="J9" s="89" t="b">
        <f t="shared" si="0"/>
        <v>0</v>
      </c>
      <c r="K9" s="89" t="b">
        <f t="shared" si="0"/>
        <v>0</v>
      </c>
      <c r="L9" s="89" t="b">
        <f t="shared" si="0"/>
        <v>0</v>
      </c>
      <c r="M9" s="89" t="b">
        <f t="shared" si="0"/>
        <v>0</v>
      </c>
      <c r="N9" s="89" t="b">
        <f t="shared" si="0"/>
        <v>0</v>
      </c>
      <c r="O9" s="91"/>
    </row>
    <row r="10" spans="1:16" s="49" customFormat="1" ht="13">
      <c r="A10" s="92" t="s">
        <v>49</v>
      </c>
      <c r="B10" s="88"/>
      <c r="C10" s="89" t="b">
        <f t="shared" ref="C10:N10" si="1" xml:space="preserve"> AND( C7&gt;0,C8&gt;0)</f>
        <v>1</v>
      </c>
      <c r="D10" s="89" t="b">
        <f t="shared" si="1"/>
        <v>1</v>
      </c>
      <c r="E10" s="89" t="b">
        <f t="shared" si="1"/>
        <v>0</v>
      </c>
      <c r="F10" s="89" t="b">
        <f t="shared" si="1"/>
        <v>0</v>
      </c>
      <c r="G10" s="89" t="b">
        <f t="shared" si="1"/>
        <v>1</v>
      </c>
      <c r="H10" s="89" t="b">
        <f t="shared" si="1"/>
        <v>1</v>
      </c>
      <c r="I10" s="89" t="b">
        <f t="shared" si="1"/>
        <v>1</v>
      </c>
      <c r="J10" s="89" t="b">
        <f t="shared" si="1"/>
        <v>1</v>
      </c>
      <c r="K10" s="89" t="b">
        <f t="shared" si="1"/>
        <v>1</v>
      </c>
      <c r="L10" s="89" t="b">
        <f t="shared" si="1"/>
        <v>1</v>
      </c>
      <c r="M10" s="89" t="b">
        <f t="shared" si="1"/>
        <v>1</v>
      </c>
      <c r="N10" s="89" t="b">
        <f t="shared" si="1"/>
        <v>1</v>
      </c>
      <c r="O10" s="91"/>
    </row>
    <row r="11" spans="1:16" s="49" customFormat="1" ht="13">
      <c r="A11" s="93" t="s">
        <v>50</v>
      </c>
      <c r="B11" s="94"/>
      <c r="C11" s="95" t="b">
        <f t="shared" ref="C11:N11" si="2" xml:space="preserve"> AND(C7&lt;0,C8&lt;0)</f>
        <v>0</v>
      </c>
      <c r="D11" s="95" t="b">
        <f t="shared" si="2"/>
        <v>0</v>
      </c>
      <c r="E11" s="95" t="b">
        <f t="shared" si="2"/>
        <v>0</v>
      </c>
      <c r="F11" s="95" t="b">
        <f t="shared" si="2"/>
        <v>0</v>
      </c>
      <c r="G11" s="95" t="b">
        <f t="shared" si="2"/>
        <v>0</v>
      </c>
      <c r="H11" s="95" t="b">
        <f t="shared" si="2"/>
        <v>0</v>
      </c>
      <c r="I11" s="95" t="b">
        <f t="shared" si="2"/>
        <v>0</v>
      </c>
      <c r="J11" s="95" t="b">
        <f t="shared" si="2"/>
        <v>0</v>
      </c>
      <c r="K11" s="95" t="b">
        <f t="shared" si="2"/>
        <v>0</v>
      </c>
      <c r="L11" s="95" t="b">
        <f t="shared" si="2"/>
        <v>0</v>
      </c>
      <c r="M11" s="95" t="b">
        <f t="shared" si="2"/>
        <v>0</v>
      </c>
      <c r="N11" s="95" t="b">
        <f t="shared" si="2"/>
        <v>0</v>
      </c>
      <c r="O11" s="82"/>
    </row>
    <row r="12" spans="1:16" s="49" customFormat="1" ht="13">
      <c r="A12" s="93" t="s">
        <v>51</v>
      </c>
      <c r="B12" s="94"/>
      <c r="C12" s="95" t="b">
        <f t="shared" ref="C12:N12" si="3" xml:space="preserve"> (C10=C11)</f>
        <v>0</v>
      </c>
      <c r="D12" s="95" t="b">
        <f t="shared" si="3"/>
        <v>0</v>
      </c>
      <c r="E12" s="95" t="b">
        <f t="shared" si="3"/>
        <v>1</v>
      </c>
      <c r="F12" s="95" t="b">
        <f t="shared" si="3"/>
        <v>1</v>
      </c>
      <c r="G12" s="95" t="b">
        <f t="shared" si="3"/>
        <v>0</v>
      </c>
      <c r="H12" s="95" t="b">
        <f t="shared" si="3"/>
        <v>0</v>
      </c>
      <c r="I12" s="95" t="b">
        <f t="shared" si="3"/>
        <v>0</v>
      </c>
      <c r="J12" s="95" t="b">
        <f t="shared" si="3"/>
        <v>0</v>
      </c>
      <c r="K12" s="95" t="b">
        <f t="shared" si="3"/>
        <v>0</v>
      </c>
      <c r="L12" s="95" t="b">
        <f t="shared" si="3"/>
        <v>0</v>
      </c>
      <c r="M12" s="95" t="b">
        <f t="shared" si="3"/>
        <v>0</v>
      </c>
      <c r="N12" s="95" t="b">
        <f t="shared" si="3"/>
        <v>0</v>
      </c>
      <c r="O12" s="82"/>
    </row>
    <row r="13" spans="1:16" s="49" customFormat="1" ht="7.5" customHeight="1">
      <c r="A13" s="93"/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82"/>
    </row>
    <row r="14" spans="1:16" s="49" customFormat="1" ht="13">
      <c r="A14" s="96" t="s">
        <v>52</v>
      </c>
      <c r="B14" s="88"/>
      <c r="C14" s="89">
        <f t="shared" ref="C14:N14" si="4">IF(C8&lt;0,C8,0)+IF(C7&gt;0,C7,0)</f>
        <v>1441</v>
      </c>
      <c r="D14" s="89">
        <f t="shared" si="4"/>
        <v>3988</v>
      </c>
      <c r="E14" s="89">
        <f t="shared" si="4"/>
        <v>1080</v>
      </c>
      <c r="F14" s="89">
        <f t="shared" si="4"/>
        <v>0</v>
      </c>
      <c r="G14" s="89">
        <f t="shared" si="4"/>
        <v>1226</v>
      </c>
      <c r="H14" s="89">
        <f t="shared" si="4"/>
        <v>1567</v>
      </c>
      <c r="I14" s="89">
        <f t="shared" si="4"/>
        <v>1538</v>
      </c>
      <c r="J14" s="89">
        <f t="shared" si="4"/>
        <v>1538</v>
      </c>
      <c r="K14" s="89">
        <f t="shared" si="4"/>
        <v>1538</v>
      </c>
      <c r="L14" s="89">
        <f t="shared" si="4"/>
        <v>1538</v>
      </c>
      <c r="M14" s="89">
        <f t="shared" si="4"/>
        <v>1538</v>
      </c>
      <c r="N14" s="89">
        <f t="shared" si="4"/>
        <v>1538</v>
      </c>
      <c r="O14" s="89"/>
    </row>
    <row r="15" spans="1:16" s="49" customFormat="1" ht="13">
      <c r="A15" s="96" t="s">
        <v>53</v>
      </c>
      <c r="B15" s="88"/>
      <c r="C15" s="89">
        <f t="shared" ref="C15:N15" si="5">IF(C8&gt;0,C8,0)+IF(C7&lt;0,C7,0)</f>
        <v>3988</v>
      </c>
      <c r="D15" s="89">
        <f t="shared" si="5"/>
        <v>1197</v>
      </c>
      <c r="E15" s="89">
        <f t="shared" si="5"/>
        <v>0</v>
      </c>
      <c r="F15" s="89">
        <f t="shared" si="5"/>
        <v>1109</v>
      </c>
      <c r="G15" s="89">
        <f t="shared" si="5"/>
        <v>1567</v>
      </c>
      <c r="H15" s="89">
        <f t="shared" si="5"/>
        <v>1538</v>
      </c>
      <c r="I15" s="89">
        <f t="shared" si="5"/>
        <v>1538</v>
      </c>
      <c r="J15" s="89">
        <f t="shared" si="5"/>
        <v>1538</v>
      </c>
      <c r="K15" s="89">
        <f t="shared" si="5"/>
        <v>1538</v>
      </c>
      <c r="L15" s="89">
        <f t="shared" si="5"/>
        <v>1538</v>
      </c>
      <c r="M15" s="89">
        <f t="shared" si="5"/>
        <v>1538</v>
      </c>
      <c r="N15" s="89">
        <f t="shared" si="5"/>
        <v>1538</v>
      </c>
      <c r="O15" s="89"/>
    </row>
    <row r="16" spans="1:16" s="49" customFormat="1" ht="13">
      <c r="A16" s="93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82"/>
    </row>
    <row r="17" spans="1:16" s="49" customFormat="1" ht="13">
      <c r="A17" s="97" t="s">
        <v>54</v>
      </c>
      <c r="B17" s="89"/>
      <c r="C17" s="89" t="b">
        <f t="shared" ref="C17:N17" si="6">AND(NOT(C9),(C8&gt;0))</f>
        <v>1</v>
      </c>
      <c r="D17" s="89" t="b">
        <f t="shared" si="6"/>
        <v>0</v>
      </c>
      <c r="E17" s="89" t="b">
        <f t="shared" si="6"/>
        <v>0</v>
      </c>
      <c r="F17" s="89" t="b">
        <f t="shared" si="6"/>
        <v>1</v>
      </c>
      <c r="G17" s="89" t="b">
        <f t="shared" si="6"/>
        <v>1</v>
      </c>
      <c r="H17" s="89" t="b">
        <f t="shared" si="6"/>
        <v>0</v>
      </c>
      <c r="I17" s="89" t="b">
        <f t="shared" si="6"/>
        <v>1</v>
      </c>
      <c r="J17" s="89" t="b">
        <f t="shared" si="6"/>
        <v>1</v>
      </c>
      <c r="K17" s="89" t="b">
        <f t="shared" si="6"/>
        <v>1</v>
      </c>
      <c r="L17" s="89" t="b">
        <f t="shared" si="6"/>
        <v>1</v>
      </c>
      <c r="M17" s="89" t="b">
        <f t="shared" si="6"/>
        <v>1</v>
      </c>
      <c r="N17" s="89" t="b">
        <f t="shared" si="6"/>
        <v>1</v>
      </c>
      <c r="O17" s="91"/>
    </row>
    <row r="18" spans="1:16" s="49" customFormat="1" ht="13">
      <c r="A18" s="98" t="s">
        <v>55</v>
      </c>
      <c r="B18" s="89"/>
      <c r="C18" s="89" t="b">
        <f t="shared" ref="C18:N18" si="7">AND(C9,(C7&gt;0))</f>
        <v>0</v>
      </c>
      <c r="D18" s="89" t="b">
        <f t="shared" si="7"/>
        <v>1</v>
      </c>
      <c r="E18" s="89" t="b">
        <f t="shared" si="7"/>
        <v>1</v>
      </c>
      <c r="F18" s="89" t="b">
        <f t="shared" si="7"/>
        <v>0</v>
      </c>
      <c r="G18" s="89" t="b">
        <f t="shared" si="7"/>
        <v>0</v>
      </c>
      <c r="H18" s="89" t="b">
        <f t="shared" si="7"/>
        <v>1</v>
      </c>
      <c r="I18" s="89" t="b">
        <f t="shared" si="7"/>
        <v>0</v>
      </c>
      <c r="J18" s="89" t="b">
        <f t="shared" si="7"/>
        <v>0</v>
      </c>
      <c r="K18" s="89" t="b">
        <f t="shared" si="7"/>
        <v>0</v>
      </c>
      <c r="L18" s="89" t="b">
        <f t="shared" si="7"/>
        <v>0</v>
      </c>
      <c r="M18" s="89" t="b">
        <f t="shared" si="7"/>
        <v>0</v>
      </c>
      <c r="N18" s="89" t="b">
        <f t="shared" si="7"/>
        <v>0</v>
      </c>
      <c r="O18" s="91"/>
    </row>
    <row r="19" spans="1:16" s="49" customFormat="1" ht="13">
      <c r="A19" s="99" t="s">
        <v>56</v>
      </c>
      <c r="B19" s="89"/>
      <c r="C19" s="89" t="b">
        <f t="shared" ref="C19:N19" si="8">AND(NOT(C9),(C7&lt;0))</f>
        <v>0</v>
      </c>
      <c r="D19" s="89" t="b">
        <f t="shared" si="8"/>
        <v>0</v>
      </c>
      <c r="E19" s="89" t="b">
        <f t="shared" si="8"/>
        <v>0</v>
      </c>
      <c r="F19" s="89" t="b">
        <f t="shared" si="8"/>
        <v>1</v>
      </c>
      <c r="G19" s="89" t="b">
        <f t="shared" si="8"/>
        <v>0</v>
      </c>
      <c r="H19" s="89" t="b">
        <f t="shared" si="8"/>
        <v>0</v>
      </c>
      <c r="I19" s="89" t="b">
        <f t="shared" si="8"/>
        <v>0</v>
      </c>
      <c r="J19" s="89" t="b">
        <f t="shared" si="8"/>
        <v>0</v>
      </c>
      <c r="K19" s="89" t="b">
        <f t="shared" si="8"/>
        <v>0</v>
      </c>
      <c r="L19" s="89" t="b">
        <f t="shared" si="8"/>
        <v>0</v>
      </c>
      <c r="M19" s="89" t="b">
        <f t="shared" si="8"/>
        <v>0</v>
      </c>
      <c r="N19" s="89" t="b">
        <f t="shared" si="8"/>
        <v>0</v>
      </c>
      <c r="O19" s="91"/>
    </row>
    <row r="20" spans="1:16" s="49" customFormat="1" ht="13">
      <c r="A20" s="100" t="s">
        <v>57</v>
      </c>
      <c r="B20" s="89"/>
      <c r="C20" s="89" t="b">
        <f t="shared" ref="C20:N20" si="9">AND(C9,(C8&lt;0))</f>
        <v>0</v>
      </c>
      <c r="D20" s="89" t="b">
        <f t="shared" si="9"/>
        <v>0</v>
      </c>
      <c r="E20" s="89" t="b">
        <f t="shared" si="9"/>
        <v>1</v>
      </c>
      <c r="F20" s="89" t="b">
        <f t="shared" si="9"/>
        <v>0</v>
      </c>
      <c r="G20" s="89" t="b">
        <f t="shared" si="9"/>
        <v>0</v>
      </c>
      <c r="H20" s="89" t="b">
        <f t="shared" si="9"/>
        <v>0</v>
      </c>
      <c r="I20" s="89" t="b">
        <f t="shared" si="9"/>
        <v>0</v>
      </c>
      <c r="J20" s="89" t="b">
        <f t="shared" si="9"/>
        <v>0</v>
      </c>
      <c r="K20" s="89" t="b">
        <f t="shared" si="9"/>
        <v>0</v>
      </c>
      <c r="L20" s="89" t="b">
        <f t="shared" si="9"/>
        <v>0</v>
      </c>
      <c r="M20" s="89" t="b">
        <f t="shared" si="9"/>
        <v>0</v>
      </c>
      <c r="N20" s="89" t="b">
        <f t="shared" si="9"/>
        <v>0</v>
      </c>
      <c r="O20" s="91"/>
    </row>
    <row r="21" spans="1:16" s="49" customFormat="1" ht="13">
      <c r="A21" s="101"/>
      <c r="B21" s="89"/>
      <c r="C21" s="89">
        <v>0</v>
      </c>
      <c r="D21" s="89">
        <v>1</v>
      </c>
      <c r="E21" s="89">
        <v>2</v>
      </c>
      <c r="F21" s="89">
        <v>3</v>
      </c>
      <c r="G21" s="89">
        <v>4</v>
      </c>
      <c r="H21" s="89">
        <v>5</v>
      </c>
      <c r="I21" s="89">
        <v>6</v>
      </c>
      <c r="J21" s="89">
        <v>7</v>
      </c>
      <c r="K21" s="89">
        <v>8</v>
      </c>
      <c r="L21" s="89">
        <v>9</v>
      </c>
      <c r="M21" s="89">
        <v>10</v>
      </c>
      <c r="N21" s="89">
        <v>11</v>
      </c>
      <c r="O21" s="89">
        <v>12</v>
      </c>
    </row>
    <row r="22" spans="1:16" s="49" customFormat="1" ht="13">
      <c r="A22" s="102" t="s">
        <v>58</v>
      </c>
      <c r="B22" s="88">
        <f>'2+12'!C6</f>
        <v>1441</v>
      </c>
      <c r="C22" s="89" t="str">
        <f t="shared" ref="C22:O22" si="10">IF(Spalten=C21,B8,"")</f>
        <v/>
      </c>
      <c r="D22" s="89" t="str">
        <f t="shared" si="10"/>
        <v/>
      </c>
      <c r="E22" s="89" t="str">
        <f t="shared" si="10"/>
        <v/>
      </c>
      <c r="F22" s="89" t="str">
        <f t="shared" si="10"/>
        <v/>
      </c>
      <c r="G22" s="89" t="str">
        <f t="shared" si="10"/>
        <v/>
      </c>
      <c r="H22" s="89" t="str">
        <f t="shared" si="10"/>
        <v/>
      </c>
      <c r="I22" s="89">
        <f t="shared" si="10"/>
        <v>1538</v>
      </c>
      <c r="J22" s="89" t="str">
        <f t="shared" si="10"/>
        <v/>
      </c>
      <c r="K22" s="89" t="str">
        <f t="shared" si="10"/>
        <v/>
      </c>
      <c r="L22" s="89" t="str">
        <f t="shared" si="10"/>
        <v/>
      </c>
      <c r="M22" s="89" t="str">
        <f t="shared" si="10"/>
        <v/>
      </c>
      <c r="N22" s="89" t="str">
        <f t="shared" si="10"/>
        <v/>
      </c>
      <c r="O22" s="89" t="str">
        <f t="shared" si="10"/>
        <v/>
      </c>
    </row>
    <row r="23" spans="1:16" s="49" customFormat="1" ht="13">
      <c r="A23" s="97" t="str">
        <f>A17</f>
        <v>steigt, &gt; 0</v>
      </c>
      <c r="B23" s="89"/>
      <c r="C23" s="89">
        <f>IF(Spalten&gt;=D21,IF(C17,MIN(C8,'2+12'!D6),0),0)</f>
        <v>2547</v>
      </c>
      <c r="D23" s="89">
        <f>IF(Spalten&gt;=E21,IF(D17,MIN(D8,'2+12'!E6),0),0)</f>
        <v>0</v>
      </c>
      <c r="E23" s="89">
        <f>IF(Spalten&gt;=F21,IF(E17,MIN(E8,'2+12'!F6),0),0)</f>
        <v>0</v>
      </c>
      <c r="F23" s="89">
        <f>IF(Spalten&gt;=G21,IF(F17,MIN(F8,'2+12'!G6),0),0)</f>
        <v>1226</v>
      </c>
      <c r="G23" s="89">
        <f>IF(Spalten&gt;=H21,IF(G17,MIN(G8,'2+12'!H6),0),0)</f>
        <v>341</v>
      </c>
      <c r="H23" s="89">
        <f>IF(Spalten&gt;=I21,IF(H17,MIN(H8,'2+12'!I6),0),0)</f>
        <v>0</v>
      </c>
      <c r="I23" s="89">
        <f>IF(Spalten&gt;=J21,IF(I17,MIN(I8,'2+12'!J6),0),0)</f>
        <v>0</v>
      </c>
      <c r="J23" s="89">
        <f>IF(Spalten&gt;=K21,IF(J17,MIN(J8,'2+12'!K6),0),0)</f>
        <v>0</v>
      </c>
      <c r="K23" s="89">
        <f>IF(Spalten&gt;=L21,IF(K17,MIN(K8,'2+12'!L6),0),0)</f>
        <v>0</v>
      </c>
      <c r="L23" s="89">
        <f>IF(Spalten&gt;=M21,IF(L17,MIN(L8,'2+12'!M6),0),0)</f>
        <v>0</v>
      </c>
      <c r="M23" s="89">
        <f>IF(Spalten&gt;=N21,IF(M17,MIN(M8,'2+12'!N6),0),0)</f>
        <v>0</v>
      </c>
      <c r="N23" s="89">
        <f>IF(Spalten&gt;=O21,IF(N17,MIN(N8,'2+12'!O6),0),0)</f>
        <v>0</v>
      </c>
      <c r="O23" s="91"/>
    </row>
    <row r="24" spans="1:16" s="49" customFormat="1" ht="13">
      <c r="A24" s="98" t="str">
        <f>A18</f>
        <v>fällt, &gt; 0</v>
      </c>
      <c r="B24" s="89"/>
      <c r="C24" s="89">
        <f>IF(Spalten&gt;=D21, IF(C18,MIN(-'2+12'!D6,C7),0),0)</f>
        <v>0</v>
      </c>
      <c r="D24" s="89">
        <f>IF(Spalten&gt;=E21, IF(D18,MIN(-'2+12'!E6,D7),0),0)</f>
        <v>2791</v>
      </c>
      <c r="E24" s="89">
        <f>IF(Spalten&gt;=F21, IF(E18,MIN(-'2+12'!F6,E7),0),0)</f>
        <v>1197</v>
      </c>
      <c r="F24" s="89">
        <f>IF(Spalten&gt;=G21, IF(F18,MIN(-'2+12'!G6,F7),0),0)</f>
        <v>0</v>
      </c>
      <c r="G24" s="89">
        <f>IF(Spalten&gt;=H21, IF(G18,MIN(-'2+12'!H6,G7),0),0)</f>
        <v>0</v>
      </c>
      <c r="H24" s="89">
        <f>IF(Spalten&gt;=I21, IF(H18,MIN(-'2+12'!I6,H7),0),0)</f>
        <v>29</v>
      </c>
      <c r="I24" s="89">
        <f>IF(Spalten&gt;=J21, IF(I18,MIN(-'2+12'!J6,I7),0),0)</f>
        <v>0</v>
      </c>
      <c r="J24" s="89">
        <f>IF(Spalten&gt;=K21, IF(J18,MIN(-'2+12'!K6,J7),0),0)</f>
        <v>0</v>
      </c>
      <c r="K24" s="89">
        <f>IF(Spalten&gt;=L21, IF(K18,MIN(-'2+12'!L6,K7),0),0)</f>
        <v>0</v>
      </c>
      <c r="L24" s="89">
        <f>IF(Spalten&gt;=M21, IF(L18,MIN(-'2+12'!M6,L7),0),0)</f>
        <v>0</v>
      </c>
      <c r="M24" s="89">
        <f>IF(Spalten&gt;=N21, IF(M18,MIN(-'2+12'!N6,M7),0),0)</f>
        <v>0</v>
      </c>
      <c r="N24" s="89">
        <f>IF(Spalten&gt;=O21, IF(N18,MIN(-'2+12'!O6,N7),0),0)</f>
        <v>0</v>
      </c>
      <c r="O24" s="91"/>
    </row>
    <row r="25" spans="1:16" s="49" customFormat="1" ht="13">
      <c r="A25" s="103" t="s">
        <v>59</v>
      </c>
      <c r="B25" s="88"/>
      <c r="C25" s="89">
        <f t="shared" ref="C25:N25" si="11">IF(Spalten&gt;=D21,IF(C9,C15,C14),0)</f>
        <v>1441</v>
      </c>
      <c r="D25" s="89">
        <f t="shared" si="11"/>
        <v>1197</v>
      </c>
      <c r="E25" s="89">
        <f t="shared" si="11"/>
        <v>0</v>
      </c>
      <c r="F25" s="89">
        <f t="shared" si="11"/>
        <v>0</v>
      </c>
      <c r="G25" s="89">
        <f t="shared" si="11"/>
        <v>1226</v>
      </c>
      <c r="H25" s="89">
        <f t="shared" si="11"/>
        <v>1538</v>
      </c>
      <c r="I25" s="89">
        <f t="shared" si="11"/>
        <v>0</v>
      </c>
      <c r="J25" s="89">
        <f t="shared" si="11"/>
        <v>0</v>
      </c>
      <c r="K25" s="89">
        <f t="shared" si="11"/>
        <v>0</v>
      </c>
      <c r="L25" s="89">
        <f t="shared" si="11"/>
        <v>0</v>
      </c>
      <c r="M25" s="89">
        <f t="shared" si="11"/>
        <v>0</v>
      </c>
      <c r="N25" s="89">
        <f t="shared" si="11"/>
        <v>0</v>
      </c>
      <c r="O25" s="89"/>
    </row>
    <row r="26" spans="1:16" s="49" customFormat="1" ht="13">
      <c r="A26" s="99" t="str">
        <f>A19</f>
        <v>steigt, &lt; 0</v>
      </c>
      <c r="B26" s="89"/>
      <c r="C26" s="89">
        <f>IF(Spalten&gt;=D21,IF(C19,MAX(-'2+12'!D6,C7),0),0)</f>
        <v>0</v>
      </c>
      <c r="D26" s="89">
        <f>IF(Spalten&gt;=E21,IF(D19,MAX(-'2+12'!E6,D7),0),0)</f>
        <v>0</v>
      </c>
      <c r="E26" s="89">
        <f>IF(Spalten&gt;=F21,IF(E19,MAX(-'2+12'!F6,E7),0),0)</f>
        <v>0</v>
      </c>
      <c r="F26" s="89">
        <f>IF(Spalten&gt;=G21,IF(F19,MAX(-'2+12'!G6,F7),0),0)</f>
        <v>-117</v>
      </c>
      <c r="G26" s="89">
        <f>IF(Spalten&gt;=H21,IF(G19,MAX(-'2+12'!H6,G7),0),0)</f>
        <v>0</v>
      </c>
      <c r="H26" s="89">
        <f>IF(Spalten&gt;=I21,IF(H19,MAX(-'2+12'!I6,H7),0),0)</f>
        <v>0</v>
      </c>
      <c r="I26" s="89">
        <f>IF(Spalten&gt;=J21,IF(I19,MAX(-'2+12'!J6,I7),0),0)</f>
        <v>0</v>
      </c>
      <c r="J26" s="89">
        <f>IF(Spalten&gt;=K21,IF(J19,MAX(-'2+12'!K6,J7),0),0)</f>
        <v>0</v>
      </c>
      <c r="K26" s="89">
        <f>IF(Spalten&gt;=L21,IF(K19,MAX(-'2+12'!L6,K7),0),0)</f>
        <v>0</v>
      </c>
      <c r="L26" s="89">
        <f>IF(Spalten&gt;=M21,IF(L19,MAX(-'2+12'!M6,L7),0),0)</f>
        <v>0</v>
      </c>
      <c r="M26" s="89">
        <f>IF(Spalten&gt;=N21,IF(M19,MAX(-'2+12'!N6,M7),0),0)</f>
        <v>0</v>
      </c>
      <c r="N26" s="89">
        <f>IF(Spalten&gt;=O21,IF(N19,MAX(-'2+12'!O6,N7),0),0)</f>
        <v>0</v>
      </c>
      <c r="O26" s="91"/>
    </row>
    <row r="27" spans="1:16" s="49" customFormat="1" ht="13">
      <c r="A27" s="100" t="str">
        <f>A20</f>
        <v>fällt, &lt; 0</v>
      </c>
      <c r="B27" s="89"/>
      <c r="C27" s="89">
        <f>IF(Spalten&gt;=D21,IF(C20,MAX(C8,'2+12'!D6),0),0)</f>
        <v>0</v>
      </c>
      <c r="D27" s="89">
        <f>IF(Spalten&gt;=E21,IF(D20,MAX(D8,'2+12'!E6),0),0)</f>
        <v>0</v>
      </c>
      <c r="E27" s="89">
        <f>IF(Spalten&gt;=F21,IF(E20,MAX(E8,'2+12'!F6),0),0)</f>
        <v>-117</v>
      </c>
      <c r="F27" s="89">
        <f>IF(Spalten&gt;=G21,IF(F20,MAX(F8,'2+12'!G6),0),0)</f>
        <v>0</v>
      </c>
      <c r="G27" s="89">
        <f>IF(Spalten&gt;=H21,IF(G20,MAX(G8,'2+12'!H6),0),0)</f>
        <v>0</v>
      </c>
      <c r="H27" s="89">
        <f>IF(Spalten&gt;=I21,IF(H20,MAX(H8,'2+12'!I6),0),0)</f>
        <v>0</v>
      </c>
      <c r="I27" s="89">
        <f>IF(Spalten&gt;=J21,IF(I20,MAX(I8,'2+12'!J6),0),0)</f>
        <v>0</v>
      </c>
      <c r="J27" s="89">
        <f>IF(Spalten&gt;=K21,IF(J20,MAX(J8,'2+12'!K6),0),0)</f>
        <v>0</v>
      </c>
      <c r="K27" s="89">
        <f>IF(Spalten&gt;=L21,IF(K20,MAX(K8,'2+12'!L6),0),0)</f>
        <v>0</v>
      </c>
      <c r="L27" s="89">
        <f>IF(Spalten&gt;=M21,IF(L20,MAX(L8,'2+12'!M6),0),0)</f>
        <v>0</v>
      </c>
      <c r="M27" s="89">
        <f>IF(Spalten&gt;=N21,IF(M20,MAX(M8,'2+12'!N6),0),0)</f>
        <v>0</v>
      </c>
      <c r="N27" s="89">
        <f>IF(Spalten&gt;=O21,IF(N20,MAX(N8,'2+12'!O6),0),0)</f>
        <v>0</v>
      </c>
      <c r="O27" s="91"/>
    </row>
    <row r="28" spans="1:16" s="49" customFormat="1" ht="13">
      <c r="A28" s="101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91"/>
    </row>
    <row r="29" spans="1:16" s="49" customFormat="1" ht="13">
      <c r="A29" s="104" t="s">
        <v>60</v>
      </c>
      <c r="B29" s="95"/>
      <c r="C29" s="95">
        <f>IF(Spalten&gt;=D21,IF(AND(C10,NOT(C9)),'2+12'!D6,0),0)</f>
        <v>2547</v>
      </c>
      <c r="D29" s="95">
        <f>IF(Spalten&gt;=E21,IF(AND(D10,NOT(D9)),'2+12'!E6,0),0)</f>
        <v>0</v>
      </c>
      <c r="E29" s="95">
        <f>IF(Spalten&gt;=F21,IF(AND(E10,NOT(E9)),'2+12'!F6,0),0)</f>
        <v>0</v>
      </c>
      <c r="F29" s="95">
        <f>IF(Spalten&gt;=G21,IF(AND(F10,NOT(F9)),'2+12'!G6,0),0)</f>
        <v>0</v>
      </c>
      <c r="G29" s="95">
        <f>IF(Spalten&gt;=H21,IF(AND(G10,NOT(G9)),'2+12'!H6,0),0)</f>
        <v>341</v>
      </c>
      <c r="H29" s="95">
        <f>IF(Spalten&gt;=I21,IF(AND(H10,NOT(H9)),'2+12'!I6,0),0)</f>
        <v>0</v>
      </c>
      <c r="I29" s="95">
        <f>IF(Spalten&gt;=J21,IF(AND(I10,NOT(I9)),'2+12'!J6,0),0)</f>
        <v>0</v>
      </c>
      <c r="J29" s="95">
        <f>IF(Spalten&gt;=K21,IF(AND(J10,NOT(J9)),'2+12'!K6,0),0)</f>
        <v>0</v>
      </c>
      <c r="K29" s="95">
        <f>IF(Spalten&gt;=L21,IF(AND(K10,NOT(K9)),'2+12'!L6,0),0)</f>
        <v>0</v>
      </c>
      <c r="L29" s="95">
        <f>IF(Spalten&gt;=M21,IF(AND(L10,NOT(L9)),'2+12'!M6,0),0)</f>
        <v>0</v>
      </c>
      <c r="M29" s="95">
        <f>IF(Spalten&gt;=N21,IF(AND(M10,NOT(M9)),'2+12'!N6,0),0)</f>
        <v>0</v>
      </c>
      <c r="N29" s="95">
        <f>IF(Spalten&gt;=O21,IF(AND(N10,NOT(N9)),'2+12'!O6,0),0)</f>
        <v>0</v>
      </c>
      <c r="O29" s="95"/>
    </row>
    <row r="30" spans="1:16" s="49" customFormat="1" ht="13">
      <c r="A30" s="105" t="s">
        <v>61</v>
      </c>
      <c r="B30" s="95"/>
      <c r="C30" s="95">
        <f>IF(Spalten&gt;=D21,-IF(AND(C10,C9),'2+12'!D6,0),0)</f>
        <v>0</v>
      </c>
      <c r="D30" s="95">
        <f>IF(Spalten&gt;=E21,-IF(AND(D10,D9),'2+12'!E6,0),0)</f>
        <v>2791</v>
      </c>
      <c r="E30" s="95">
        <f>IF(Spalten&gt;=F21,-IF(AND(E10,E9),'2+12'!F6,0),0)</f>
        <v>0</v>
      </c>
      <c r="F30" s="95">
        <f>IF(Spalten&gt;=G21,-IF(AND(F10,F9),'2+12'!G6,0),0)</f>
        <v>0</v>
      </c>
      <c r="G30" s="95">
        <f>IF(Spalten&gt;=H21,-IF(AND(G10,G9),'2+12'!H6,0),0)</f>
        <v>0</v>
      </c>
      <c r="H30" s="95">
        <f>IF(Spalten&gt;=I21,-IF(AND(H10,H9),'2+12'!I6,0),0)</f>
        <v>29</v>
      </c>
      <c r="I30" s="95">
        <f>IF(Spalten&gt;=J21,-IF(AND(I10,I9),'2+12'!J6,0),0)</f>
        <v>0</v>
      </c>
      <c r="J30" s="95">
        <f>IF(Spalten&gt;=K21,-IF(AND(J10,J9),'2+12'!K6,0),0)</f>
        <v>0</v>
      </c>
      <c r="K30" s="95">
        <f>IF(Spalten&gt;=L21,-IF(AND(K10,K9),'2+12'!L6,0),0)</f>
        <v>0</v>
      </c>
      <c r="L30" s="95">
        <f>IF(Spalten&gt;=M21,-IF(AND(L10,L9),'2+12'!M6,0),0)</f>
        <v>0</v>
      </c>
      <c r="M30" s="95">
        <f>IF(Spalten&gt;=N21,-IF(AND(M10,M9),'2+12'!N6,0),0)</f>
        <v>0</v>
      </c>
      <c r="N30" s="95">
        <f>IF(Spalten&gt;=O21,-IF(AND(N10,N9),'2+12'!O6,0),0)</f>
        <v>0</v>
      </c>
      <c r="O30" s="95"/>
      <c r="P30" s="95"/>
    </row>
    <row r="31" spans="1:16" s="49" customFormat="1" ht="13">
      <c r="A31" s="106" t="s">
        <v>62</v>
      </c>
      <c r="C31" s="95">
        <f>IF(AND(C12,NOT(C9)),'2+12'!D6,0)</f>
        <v>0</v>
      </c>
      <c r="D31" s="95">
        <f>IF(AND(D12,NOT(D9)),'2+12'!E6,0)</f>
        <v>0</v>
      </c>
      <c r="E31" s="95">
        <f>IF(AND(E12,NOT(E9)),'2+12'!F6,0)</f>
        <v>0</v>
      </c>
      <c r="F31" s="95">
        <f>IF(AND(F12,NOT(F9)),'2+12'!G6,0)</f>
        <v>1343</v>
      </c>
      <c r="G31" s="95">
        <f>IF(AND(G12,NOT(G9)),'2+12'!H6,0)</f>
        <v>0</v>
      </c>
      <c r="H31" s="95">
        <f>IF(AND(H12,NOT(H9)),'2+12'!I6,0)</f>
        <v>0</v>
      </c>
      <c r="I31" s="95">
        <f>IF(AND(I12,NOT(I9)),'2+12'!J6,0)</f>
        <v>0</v>
      </c>
      <c r="J31" s="95">
        <f>IF(AND(J12,NOT(J9)),'2+12'!K6,0)</f>
        <v>0</v>
      </c>
      <c r="K31" s="95">
        <f>IF(AND(K12,NOT(K9)),'2+12'!L6,0)</f>
        <v>0</v>
      </c>
      <c r="L31" s="95">
        <f>IF(AND(L12,NOT(L9)),'2+12'!M6,0)</f>
        <v>0</v>
      </c>
      <c r="M31" s="95">
        <f>IF(AND(M12,NOT(M9)),'2+12'!N6,0)</f>
        <v>0</v>
      </c>
      <c r="N31" s="95">
        <f>IF(Spalten&gt;=O21,IF(AND(N12,NOT(N9)),'2+12'!O6,0),0)</f>
        <v>0</v>
      </c>
      <c r="O31" s="82"/>
    </row>
    <row r="32" spans="1:16" s="49" customFormat="1" ht="13">
      <c r="A32" s="107" t="s">
        <v>63</v>
      </c>
      <c r="C32" s="95">
        <f>IF(Spalten&gt;=D21,IF(AND(C12,C9),'2+12'!D6,0),0)</f>
        <v>0</v>
      </c>
      <c r="D32" s="95">
        <f>IF(Spalten&gt;=E21,IF(AND(D12,D9),'2+12'!E6,0),0)</f>
        <v>0</v>
      </c>
      <c r="E32" s="95">
        <f>IF(Spalten&gt;=F21,IF(AND(E12,E9),'2+12'!F6,0),0)</f>
        <v>-1314</v>
      </c>
      <c r="F32" s="95">
        <f>IF(Spalten&gt;=G21,IF(AND(F12,F9),'2+12'!G6,0),0)</f>
        <v>0</v>
      </c>
      <c r="G32" s="95">
        <f>IF(Spalten&gt;=H21,IF(AND(G12,G9),'2+12'!H6,0),0)</f>
        <v>0</v>
      </c>
      <c r="H32" s="95">
        <f>IF(Spalten&gt;=I21,IF(AND(H12,H9),'2+12'!I6,0),0)</f>
        <v>0</v>
      </c>
      <c r="I32" s="95">
        <f>IF(Spalten&gt;=J21,IF(AND(I12,I9),'2+12'!J6,0),0)</f>
        <v>0</v>
      </c>
      <c r="J32" s="95">
        <f>IF(Spalten&gt;=K21,IF(AND(J12,J9),'2+12'!K6,0),0)</f>
        <v>0</v>
      </c>
      <c r="K32" s="95">
        <f>IF(Spalten&gt;=L21,IF(AND(K12,K9),'2+12'!L6,0),0)</f>
        <v>0</v>
      </c>
      <c r="L32" s="95">
        <f>IF(Spalten&gt;=M21,IF(AND(L12,L9),'2+12'!M6,0),0)</f>
        <v>0</v>
      </c>
      <c r="M32" s="95">
        <f>IF(Spalten&gt;=N21,IF(AND(M12,M9),'2+12'!N6,0),0)</f>
        <v>0</v>
      </c>
      <c r="N32" s="95">
        <f>IF(Spalten&gt;=O21,IF(AND(N12,N9),'2+12'!O6,0),0)</f>
        <v>0</v>
      </c>
      <c r="O32" s="82"/>
    </row>
    <row r="33" spans="1:15" s="49" customFormat="1" ht="13">
      <c r="A33" s="108" t="s">
        <v>64</v>
      </c>
      <c r="C33" s="95">
        <f>IF(Spalten&gt;=D21,-IF(AND(C11,NOT(C9)),'2+12'!D6,0),0)</f>
        <v>0</v>
      </c>
      <c r="D33" s="95">
        <f>IF(Spalten&gt;=E21,-IF(AND(D11,NOT(D9)),'2+12'!E6,0),0)</f>
        <v>0</v>
      </c>
      <c r="E33" s="95">
        <f>IF(Spalten&gt;=F21,-IF(AND(E11,NOT(E9)),'2+12'!F6,0),0)</f>
        <v>0</v>
      </c>
      <c r="F33" s="95">
        <f>IF(Spalten&gt;=G21,-IF(AND(F11,NOT(F9)),'2+12'!G6,0),0)</f>
        <v>0</v>
      </c>
      <c r="G33" s="95">
        <f>IF(Spalten&gt;=H21,-IF(AND(G11,NOT(G9)),'2+12'!H6,0),0)</f>
        <v>0</v>
      </c>
      <c r="H33" s="95">
        <f>IF(Spalten&gt;=I21,-IF(AND(H11,NOT(H9)),'2+12'!I6,0),0)</f>
        <v>0</v>
      </c>
      <c r="I33" s="95">
        <f>IF(Spalten&gt;=J21,-IF(AND(I11,NOT(I9)),'2+12'!J6,0),0)</f>
        <v>0</v>
      </c>
      <c r="J33" s="95">
        <f>IF(Spalten&gt;=K21,-IF(AND(J11,NOT(J9)),'2+12'!K6,0),0)</f>
        <v>0</v>
      </c>
      <c r="K33" s="95">
        <f>IF(Spalten&gt;=L21,-IF(AND(K11,NOT(K9)),'2+12'!L6,0),0)</f>
        <v>0</v>
      </c>
      <c r="L33" s="95">
        <f>IF(Spalten&gt;=M21,-IF(AND(L11,NOT(L9)),'2+12'!M6,0),0)</f>
        <v>0</v>
      </c>
      <c r="M33" s="95">
        <f>IF(Spalten&gt;=N21,-IF(AND(M11,NOT(M9)),'2+12'!N6,0),0)</f>
        <v>0</v>
      </c>
      <c r="N33" s="95">
        <f>IF(Spalten&gt;=O21,-IF(AND(N11,NOT(N9)),'2+12'!O6,0),0)</f>
        <v>0</v>
      </c>
      <c r="O33" s="82"/>
    </row>
    <row r="34" spans="1:15" s="49" customFormat="1" ht="13">
      <c r="A34" s="109" t="s">
        <v>65</v>
      </c>
      <c r="C34" s="95">
        <f>IF(Spalten&gt;=D21,IF(AND(C11,C9),'2+12'!D6,0),0)</f>
        <v>0</v>
      </c>
      <c r="D34" s="95">
        <f>IF(Spalten&gt;=E21,IF(AND(D11,D9),'2+12'!E6,0),0)</f>
        <v>0</v>
      </c>
      <c r="E34" s="95">
        <f>IF(Spalten&gt;=F21,IF(AND(E11,E9),'2+12'!F6,0),0)</f>
        <v>0</v>
      </c>
      <c r="F34" s="95">
        <f>IF(Spalten&gt;=G21,IF(AND(F11,F9),'2+12'!G6,0),0)</f>
        <v>0</v>
      </c>
      <c r="G34" s="95">
        <f>IF(Spalten&gt;=H21,IF(AND(G11,G9),'2+12'!H6,0),0)</f>
        <v>0</v>
      </c>
      <c r="H34" s="95">
        <f>IF(Spalten&gt;=I21,IF(AND(H11,H9),'2+12'!I6,0),0)</f>
        <v>0</v>
      </c>
      <c r="I34" s="95">
        <f>IF(Spalten&gt;=J21,IF(AND(I11,I9),'2+12'!J6,0),0)</f>
        <v>0</v>
      </c>
      <c r="J34" s="95">
        <f>IF(Spalten&gt;=K21,IF(AND(J11,J9),'2+12'!K6,0),0)</f>
        <v>0</v>
      </c>
      <c r="K34" s="95">
        <f>IF(Spalten&gt;=L21,IF(AND(K11,K9),'2+12'!L6,0),0)</f>
        <v>0</v>
      </c>
      <c r="L34" s="95">
        <f>IF(Spalten&gt;=M21,IF(AND(L11,L9),'2+12'!M6,0),0)</f>
        <v>0</v>
      </c>
      <c r="M34" s="95">
        <f>IF(Spalten&gt;=N21,IF(AND(M11,M9),'2+12'!N6,0),0)</f>
        <v>0</v>
      </c>
      <c r="N34" s="95">
        <f>IF(Spalten&gt;=O21,IF(AND(N11,N9),'2+12'!O6,0),0)</f>
        <v>0</v>
      </c>
      <c r="O34" s="82"/>
    </row>
    <row r="35" spans="1:15" s="49" customFormat="1">
      <c r="A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1:15">
      <c r="A36" s="24" t="s">
        <v>66</v>
      </c>
      <c r="B36">
        <f>XAchseDicke</f>
        <v>-55</v>
      </c>
      <c r="C36">
        <f t="shared" ref="C36:O36" si="12">IF(Spalten&gt;=C21,XAchseDicke,0)</f>
        <v>-55</v>
      </c>
      <c r="D36">
        <f t="shared" si="12"/>
        <v>-55</v>
      </c>
      <c r="E36">
        <f t="shared" si="12"/>
        <v>-55</v>
      </c>
      <c r="F36">
        <f t="shared" si="12"/>
        <v>-55</v>
      </c>
      <c r="G36">
        <f t="shared" si="12"/>
        <v>-55</v>
      </c>
      <c r="H36">
        <f t="shared" si="12"/>
        <v>-55</v>
      </c>
      <c r="I36">
        <f t="shared" si="12"/>
        <v>-55</v>
      </c>
      <c r="J36">
        <f t="shared" si="12"/>
        <v>0</v>
      </c>
      <c r="K36">
        <f t="shared" si="12"/>
        <v>0</v>
      </c>
      <c r="L36">
        <f t="shared" si="12"/>
        <v>0</v>
      </c>
      <c r="M36">
        <f t="shared" si="12"/>
        <v>0</v>
      </c>
      <c r="N36">
        <f t="shared" si="12"/>
        <v>0</v>
      </c>
      <c r="O36">
        <f t="shared" si="12"/>
        <v>0</v>
      </c>
    </row>
    <row r="37" spans="1:15">
      <c r="A37" s="24" t="s">
        <v>67</v>
      </c>
      <c r="B37">
        <f>$C$37</f>
        <v>-2000</v>
      </c>
      <c r="C37">
        <v>-2000</v>
      </c>
      <c r="D37">
        <f>$C$37</f>
        <v>-2000</v>
      </c>
      <c r="E37">
        <f t="shared" ref="E37:O37" si="13">$C$37</f>
        <v>-2000</v>
      </c>
      <c r="F37">
        <f t="shared" si="13"/>
        <v>-2000</v>
      </c>
      <c r="G37">
        <f t="shared" si="13"/>
        <v>-2000</v>
      </c>
      <c r="H37">
        <f t="shared" si="13"/>
        <v>-2000</v>
      </c>
      <c r="I37">
        <f t="shared" si="13"/>
        <v>-2000</v>
      </c>
      <c r="J37">
        <f t="shared" si="13"/>
        <v>-2000</v>
      </c>
      <c r="K37">
        <f t="shared" si="13"/>
        <v>-2000</v>
      </c>
      <c r="L37">
        <f t="shared" si="13"/>
        <v>-2000</v>
      </c>
      <c r="M37">
        <f t="shared" si="13"/>
        <v>-2000</v>
      </c>
      <c r="N37">
        <f t="shared" si="13"/>
        <v>-2000</v>
      </c>
      <c r="O37">
        <f t="shared" si="13"/>
        <v>-2000</v>
      </c>
    </row>
  </sheetData>
  <phoneticPr fontId="7" type="noConversion"/>
  <pageMargins left="0.75" right="0.75" top="1" bottom="1" header="0.5" footer="0.5"/>
  <pageSetup paperSize="9" orientation="portrait" horizontalDpi="429496729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 enableFormatConditionsCalculation="0"/>
  <dimension ref="A1"/>
  <sheetViews>
    <sheetView workbookViewId="0">
      <selection activeCell="C16" sqref="C16:D16"/>
    </sheetView>
  </sheetViews>
  <sheetFormatPr baseColWidth="10" defaultRowHeight="12" x14ac:dyDescent="0"/>
  <sheetData/>
  <phoneticPr fontId="7" type="noConversion"/>
  <pageMargins left="0.75" right="0.75" top="1" bottom="1" header="0.4921259845" footer="0.492125984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Copyright</vt:lpstr>
      <vt:lpstr>Analysis</vt:lpstr>
      <vt:lpstr>Report</vt:lpstr>
      <vt:lpstr>CB-Structure</vt:lpstr>
      <vt:lpstr>2+12</vt:lpstr>
      <vt:lpstr>Logic</vt:lpstr>
      <vt:lpstr>Charts</vt:lpstr>
    </vt:vector>
  </TitlesOfParts>
  <Company>Controller Akademie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Eiselmayer Klaus</dc:creator>
  <cp:lastModifiedBy>Dietmar Pascher</cp:lastModifiedBy>
  <cp:lastPrinted>2009-09-23T10:19:31Z</cp:lastPrinted>
  <dcterms:created xsi:type="dcterms:W3CDTF">2001-02-12T13:04:39Z</dcterms:created>
  <dcterms:modified xsi:type="dcterms:W3CDTF">2013-09-12T08:41:15Z</dcterms:modified>
</cp:coreProperties>
</file>